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udget" sheetId="1" r:id="rId1"/>
    <sheet name="chief" sheetId="2" r:id="rId2"/>
    <sheet name="ambulance" sheetId="3" r:id="rId3"/>
    <sheet name="Capitalimp" sheetId="4" r:id="rId4"/>
    <sheet name="Payroll" sheetId="5" r:id="rId5"/>
  </sheets>
  <definedNames>
    <definedName name="_xlnm.Print_Area" localSheetId="0">'budget'!$B$1:$J$270</definedName>
  </definedNames>
  <calcPr fullCalcOnLoad="1"/>
</workbook>
</file>

<file path=xl/sharedStrings.xml><?xml version="1.0" encoding="utf-8"?>
<sst xmlns="http://schemas.openxmlformats.org/spreadsheetml/2006/main" count="288" uniqueCount="240">
  <si>
    <t>Appropriations:</t>
  </si>
  <si>
    <t>Less:</t>
  </si>
  <si>
    <t>Estimated Revenue</t>
  </si>
  <si>
    <t>Unexpended Balance</t>
  </si>
  <si>
    <t>Total Revenue</t>
  </si>
  <si>
    <t>To Be Raised by Property Taxes</t>
  </si>
  <si>
    <t>Actual</t>
  </si>
  <si>
    <t>Budget</t>
  </si>
  <si>
    <t>Preliminary</t>
  </si>
  <si>
    <t>Adopted</t>
  </si>
  <si>
    <t>REVENUES</t>
  </si>
  <si>
    <t>INSURANCE</t>
  </si>
  <si>
    <t>TOTALS</t>
  </si>
  <si>
    <t>APPROPRIATIONS</t>
  </si>
  <si>
    <t xml:space="preserve"> </t>
  </si>
  <si>
    <t>SALARY-TREAS</t>
  </si>
  <si>
    <t xml:space="preserve">OTHER PERSONAL </t>
  </si>
  <si>
    <t>SERVICES</t>
  </si>
  <si>
    <t>TOTAL PERSONAL</t>
  </si>
  <si>
    <t xml:space="preserve">  SERVICES</t>
  </si>
  <si>
    <t>EQUIPMENT</t>
  </si>
  <si>
    <t xml:space="preserve">CONTRACTUAL &amp; </t>
  </si>
  <si>
    <t>OTHER EXP.</t>
  </si>
  <si>
    <t xml:space="preserve">DISABILITY </t>
  </si>
  <si>
    <t xml:space="preserve">WORKERS </t>
  </si>
  <si>
    <t xml:space="preserve">  COMPENSATION</t>
  </si>
  <si>
    <t>MED./ACC. INS.</t>
  </si>
  <si>
    <t xml:space="preserve">VOL. FIREMAN </t>
  </si>
  <si>
    <t xml:space="preserve">  LIFE INS.</t>
  </si>
  <si>
    <t>SERVICE AWARD</t>
  </si>
  <si>
    <t>PROGRAM</t>
  </si>
  <si>
    <t>INTEREST-BONDS</t>
  </si>
  <si>
    <t xml:space="preserve">        -NOTES</t>
  </si>
  <si>
    <t>REDEMPTION-BONDS</t>
  </si>
  <si>
    <t xml:space="preserve">          -NOTES</t>
  </si>
  <si>
    <t>TRANSFER TO</t>
  </si>
  <si>
    <t>APPARATUS RESERVE</t>
  </si>
  <si>
    <t>BUILDING RESERVE</t>
  </si>
  <si>
    <t>Employees NYS Retirement</t>
  </si>
  <si>
    <t>HYDRANTS</t>
  </si>
  <si>
    <t xml:space="preserve">          ASSESSED VALUATIONS</t>
  </si>
  <si>
    <t xml:space="preserve">          -------------------</t>
  </si>
  <si>
    <t xml:space="preserve">EQUALIZATION RATE </t>
  </si>
  <si>
    <t>FULL EQUALIZED VALUE</t>
  </si>
  <si>
    <t xml:space="preserve">          SPENDING LIMIT</t>
  </si>
  <si>
    <t>ASSESSED VAULE</t>
  </si>
  <si>
    <t>TOWN OF BROOKHAVEN</t>
  </si>
  <si>
    <t>RATE</t>
  </si>
  <si>
    <t>Equalization</t>
  </si>
  <si>
    <t>Town</t>
  </si>
  <si>
    <t>BROOKHAVEN TOWN</t>
  </si>
  <si>
    <t>LESS FIRST MILLION</t>
  </si>
  <si>
    <t>MULTIPLY BY 1 MILL</t>
  </si>
  <si>
    <t>EXPENDITURES PERMITTED</t>
  </si>
  <si>
    <t>ALLOWED FIRST MILLION</t>
  </si>
  <si>
    <t xml:space="preserve">STATUTORY SPENDING LIMIT FOR </t>
  </si>
  <si>
    <t>ADD EXCLUSIONS</t>
  </si>
  <si>
    <t xml:space="preserve">      COMPENSATION FIRE DIST.PERSONNEL &amp; Treasurer</t>
  </si>
  <si>
    <t xml:space="preserve">      WORKERS COMP</t>
  </si>
  <si>
    <t xml:space="preserve">      HYDRANTS</t>
  </si>
  <si>
    <t xml:space="preserve">      SOCIAL SECURITY</t>
  </si>
  <si>
    <t xml:space="preserve">     MEDI CARE</t>
  </si>
  <si>
    <t xml:space="preserve">      SERVICE AWARDS PROGRAM</t>
  </si>
  <si>
    <t xml:space="preserve">      TRANS. TO RESERVES</t>
  </si>
  <si>
    <t xml:space="preserve">      DEBT SERVICE</t>
  </si>
  <si>
    <t xml:space="preserve">      Financial Audit</t>
  </si>
  <si>
    <t xml:space="preserve">      MEDICAL INSURANCE</t>
  </si>
  <si>
    <t>LIFE INSURANCE</t>
  </si>
  <si>
    <t>DISABILITY INS.</t>
  </si>
  <si>
    <t>PERSONNEL EXPENSES</t>
  </si>
  <si>
    <t>TREASURER</t>
  </si>
  <si>
    <t>SECRETARY</t>
  </si>
  <si>
    <t>MECHANIC</t>
  </si>
  <si>
    <t>EMT 1st responder coverage</t>
  </si>
  <si>
    <t>NYS RETIREMENT SYS.</t>
  </si>
  <si>
    <t>SOCIAL SECURITY</t>
  </si>
  <si>
    <t>Medi Care</t>
  </si>
  <si>
    <t>CONTRACTUAL EXPENSES</t>
  </si>
  <si>
    <t>INCLUDED UNDER THE SPENDING LIMITATION</t>
  </si>
  <si>
    <t>OFFICE SUPPLIES</t>
  </si>
  <si>
    <t>POSTAGE</t>
  </si>
  <si>
    <t>CONVENTIONS</t>
  </si>
  <si>
    <t>DRILLS/ TRAINING</t>
  </si>
  <si>
    <t>Physical Fitness</t>
  </si>
  <si>
    <t>OTHER TRAVEL</t>
  </si>
  <si>
    <t>ASSOC. DUES</t>
  </si>
  <si>
    <t>UNIFORMS</t>
  </si>
  <si>
    <t>INSPECTIONS</t>
  </si>
  <si>
    <t xml:space="preserve">PUBLICATION </t>
  </si>
  <si>
    <t>OF NOTICES</t>
  </si>
  <si>
    <t>ELECTRICITY</t>
  </si>
  <si>
    <t>HEATING: Fuel Oil</t>
  </si>
  <si>
    <t>HEATING: Gas</t>
  </si>
  <si>
    <t>EQUIPMENT REPAIR</t>
  </si>
  <si>
    <t>TREAS. BOND</t>
  </si>
  <si>
    <t>CONSULTATION:</t>
  </si>
  <si>
    <t>legal</t>
  </si>
  <si>
    <t xml:space="preserve">Web/computer </t>
  </si>
  <si>
    <t>elections</t>
  </si>
  <si>
    <t>OSHA PHYSICALS</t>
  </si>
  <si>
    <t>Testing : hose</t>
  </si>
  <si>
    <t>Testing: ladders</t>
  </si>
  <si>
    <t>FIRE PREV: Education</t>
  </si>
  <si>
    <t>FIRE PREV: Literature</t>
  </si>
  <si>
    <t>TOTAL INCLUDED</t>
  </si>
  <si>
    <t>EXCLUDED FROM THE SPENDING LIMIT</t>
  </si>
  <si>
    <t>TOTAL CONTRACTUAL</t>
  </si>
  <si>
    <t>PACKAGE</t>
  </si>
  <si>
    <t>BUSINESS AUTO</t>
  </si>
  <si>
    <t>UMBRELLA</t>
  </si>
  <si>
    <t>ACCIDENT &amp; HEALTH</t>
  </si>
  <si>
    <t>FIDELITY BOND</t>
  </si>
  <si>
    <t>WORKERS COMPENSATION</t>
  </si>
  <si>
    <t>Oil Pollution</t>
  </si>
  <si>
    <t>HYDRANTS:</t>
  </si>
  <si>
    <t>Bonds &amp; Interest</t>
  </si>
  <si>
    <t>CHIEF</t>
  </si>
  <si>
    <t>AMBULANCE</t>
  </si>
  <si>
    <t>TOTAL</t>
  </si>
  <si>
    <t>INSURANCE - Annual % increase</t>
  </si>
  <si>
    <t>VOLUNTEERS</t>
  </si>
  <si>
    <t>PAID EMPLOYEES</t>
  </si>
  <si>
    <t># OF HYDRANTS</t>
  </si>
  <si>
    <t xml:space="preserve">COST/HYDRANT </t>
  </si>
  <si>
    <t>Principle</t>
  </si>
  <si>
    <t>Interest</t>
  </si>
  <si>
    <t>Paid</t>
  </si>
  <si>
    <t>2.7 Million Bond</t>
  </si>
  <si>
    <t>Total</t>
  </si>
  <si>
    <t>Raise percentage</t>
  </si>
  <si>
    <t>Custodian</t>
  </si>
  <si>
    <t>Financial Audit</t>
  </si>
  <si>
    <t>Telephone: Cellular</t>
  </si>
  <si>
    <t>Telephone: Land Line</t>
  </si>
  <si>
    <t>Payments IN-LIEU of Taxes</t>
  </si>
  <si>
    <t>Interest on Deposits</t>
  </si>
  <si>
    <t>Insurance Recoveries</t>
  </si>
  <si>
    <t>Refund of expenditures</t>
  </si>
  <si>
    <t>Rental</t>
  </si>
  <si>
    <t>Exclusions and Authorized</t>
  </si>
  <si>
    <t>Budget Appropriations</t>
  </si>
  <si>
    <t>Spending Limit Margin</t>
  </si>
  <si>
    <t>Testing: flow test</t>
  </si>
  <si>
    <t>Workers Comp % increase</t>
  </si>
  <si>
    <t>INSURANCE:Package</t>
  </si>
  <si>
    <t>INSURANCE:Umbrella</t>
  </si>
  <si>
    <t>SOC. SEC &amp; MED CARE &amp; MCTMT</t>
  </si>
  <si>
    <t>Utilities:</t>
  </si>
  <si>
    <t>Water Authority</t>
  </si>
  <si>
    <t>Insurance</t>
  </si>
  <si>
    <t>Insurance: Auto</t>
  </si>
  <si>
    <t>Testing</t>
  </si>
  <si>
    <t>Fire Prevention</t>
  </si>
  <si>
    <t>Telephone</t>
  </si>
  <si>
    <t>Service Contracts</t>
  </si>
  <si>
    <t>SCBA Air Station</t>
  </si>
  <si>
    <t>Lawn Service</t>
  </si>
  <si>
    <t>Stretcher</t>
  </si>
  <si>
    <t>Advanced Pest Conrol</t>
  </si>
  <si>
    <t>Best Climat Control</t>
  </si>
  <si>
    <t>Copier Contract</t>
  </si>
  <si>
    <t>Diamond Contract</t>
  </si>
  <si>
    <t>Tru Green</t>
  </si>
  <si>
    <t>Part Time</t>
  </si>
  <si>
    <t>Fire Sprinkler</t>
  </si>
  <si>
    <t>Cap Imp</t>
  </si>
  <si>
    <t>Expenditures</t>
  </si>
  <si>
    <t>Gas &amp; Diesel for Emergency Vehicles</t>
  </si>
  <si>
    <t>Gas and Diesel</t>
  </si>
  <si>
    <t>Gas</t>
  </si>
  <si>
    <t>Diesel</t>
  </si>
  <si>
    <t>Custodian: Part Time</t>
  </si>
  <si>
    <t>Employees</t>
  </si>
  <si>
    <t>Volunteers</t>
  </si>
  <si>
    <t>(Example: For budget prepared in year 2 (current year) and taxes to be raised and expended in year</t>
  </si>
  <si>
    <t>3 (next year), use assessment roll completed in year 1 (last year) divided by the town equalization</t>
  </si>
  <si>
    <t>rate established for this assessment roll. Note: A different equalization rate is established for each</t>
  </si>
  <si>
    <t>year’s assessment roll.)</t>
  </si>
  <si>
    <t>Fire Prevention Day: Signal 8</t>
  </si>
  <si>
    <t>Building Bond</t>
  </si>
  <si>
    <t>Property</t>
  </si>
  <si>
    <t>1 million Bond</t>
  </si>
  <si>
    <t>SCM</t>
  </si>
  <si>
    <t>Computer Repair</t>
  </si>
  <si>
    <t>BLDG. REPAIRS/Maintenance</t>
  </si>
  <si>
    <t>3g</t>
  </si>
  <si>
    <t>Vehicle Tracking</t>
  </si>
  <si>
    <t>Off Site Data Storage</t>
  </si>
  <si>
    <t>Appraisal</t>
  </si>
  <si>
    <t>BLDG. REPAIRS/Maintenance Mill Rd</t>
  </si>
  <si>
    <t>Electric Mill Rd.</t>
  </si>
  <si>
    <t>Signal 8</t>
  </si>
  <si>
    <t>Health Insurance</t>
  </si>
  <si>
    <t>Testing : pump</t>
  </si>
  <si>
    <t>Transfer from Add tion &amp; Alteration</t>
  </si>
  <si>
    <t>Item</t>
  </si>
  <si>
    <t>Cost</t>
  </si>
  <si>
    <t>Quantity</t>
  </si>
  <si>
    <t>Cost/unit</t>
  </si>
  <si>
    <t>Total Ambulance company request</t>
  </si>
  <si>
    <t>total</t>
  </si>
  <si>
    <t>Yr to Yr comparison</t>
  </si>
  <si>
    <t>c</t>
  </si>
  <si>
    <t>Operations</t>
  </si>
  <si>
    <t>MECHANIC: Matthews</t>
  </si>
  <si>
    <t>Overall Budget Difference from 2013</t>
  </si>
  <si>
    <t>Assessment Difference from 2013</t>
  </si>
  <si>
    <t>2013/2014</t>
  </si>
  <si>
    <t>salaried</t>
  </si>
  <si>
    <t>Hours/yr</t>
  </si>
  <si>
    <t>Over time 5% of full time employees</t>
  </si>
  <si>
    <t>% increase</t>
  </si>
  <si>
    <t>Misc</t>
  </si>
  <si>
    <t>Tower Lease</t>
  </si>
  <si>
    <t>Testing : nozzle</t>
  </si>
  <si>
    <t>Full Time: Coordinator</t>
  </si>
  <si>
    <t>Full Time: EMT</t>
  </si>
  <si>
    <t>Full Time: asst narc</t>
  </si>
  <si>
    <t>TOTAL TAXABLE VALUE 13'/14'</t>
  </si>
  <si>
    <t>2016 Rate</t>
  </si>
  <si>
    <t>2015 rate/hr</t>
  </si>
  <si>
    <t>2017 Rate</t>
  </si>
  <si>
    <t>Projected 2016 Cost</t>
  </si>
  <si>
    <t>LUCAS</t>
  </si>
  <si>
    <t>Stretcher Lift</t>
  </si>
  <si>
    <t>Pagers/Icom Radios</t>
  </si>
  <si>
    <t>Cascade</t>
  </si>
  <si>
    <t>Operational</t>
  </si>
  <si>
    <t>TNT Tool</t>
  </si>
  <si>
    <t>Gas Meters</t>
  </si>
  <si>
    <t>Cutter Saws</t>
  </si>
  <si>
    <t>Gear inspection</t>
  </si>
  <si>
    <t>Wildland Gear</t>
  </si>
  <si>
    <t>Low Band Radios</t>
  </si>
  <si>
    <t>Scott Bottles 45 min</t>
  </si>
  <si>
    <t>Architect: for 281 Mill development</t>
  </si>
  <si>
    <t>BLDG. REPAIRS Gym Maintenance</t>
  </si>
  <si>
    <t>EPCR</t>
  </si>
  <si>
    <t>Building Security</t>
  </si>
  <si>
    <t>Yaphank Fire District Budget 2016 3rd draft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</si>
</sst>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00"/>
    <numFmt numFmtId="167" formatCode=";;;"/>
    <numFmt numFmtId="168" formatCode="#,##0.0000000"/>
    <numFmt numFmtId="169" formatCode="0.000000000"/>
  </numFmts>
  <fonts count="44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double"/>
      <top style="double"/>
      <bottom style="thin"/>
    </border>
    <border>
      <left style="thick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ck"/>
      <top style="double"/>
      <bottom style="thin"/>
    </border>
    <border>
      <left style="thick"/>
      <right style="thick"/>
      <top style="double"/>
      <bottom style="thin"/>
    </border>
    <border>
      <left style="double"/>
      <right style="thick"/>
      <top style="thin"/>
      <bottom style="double"/>
    </border>
    <border>
      <left style="thick"/>
      <right style="thick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1" fillId="0" borderId="0" xfId="0" applyFont="1" applyAlignment="1">
      <alignment shrinkToFit="1"/>
    </xf>
    <xf numFmtId="0" fontId="1" fillId="0" borderId="0" xfId="0" applyFont="1" applyAlignment="1">
      <alignment horizontal="center" shrinkToFi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0" fillId="33" borderId="10" xfId="0" applyNumberFormat="1" applyFill="1" applyBorder="1" applyAlignment="1">
      <alignment/>
    </xf>
    <xf numFmtId="3" fontId="3" fillId="0" borderId="10" xfId="53" applyNumberFormat="1" applyBorder="1" applyAlignment="1" applyProtection="1">
      <alignment/>
      <protection/>
    </xf>
    <xf numFmtId="10" fontId="1" fillId="0" borderId="10" xfId="0" applyNumberFormat="1" applyFont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1" fillId="0" borderId="12" xfId="0" applyNumberFormat="1" applyFont="1" applyBorder="1" applyAlignment="1">
      <alignment/>
    </xf>
    <xf numFmtId="0" fontId="1" fillId="33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166" fontId="0" fillId="0" borderId="10" xfId="0" applyNumberFormat="1" applyBorder="1" applyAlignment="1">
      <alignment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shrinkToFi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10" fontId="0" fillId="0" borderId="0" xfId="0" applyNumberFormat="1" applyAlignment="1">
      <alignment/>
    </xf>
    <xf numFmtId="10" fontId="0" fillId="0" borderId="13" xfId="0" applyNumberFormat="1" applyBorder="1" applyAlignment="1">
      <alignment horizontal="right"/>
    </xf>
    <xf numFmtId="3" fontId="1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right"/>
    </xf>
    <xf numFmtId="3" fontId="0" fillId="0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16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165" fontId="0" fillId="33" borderId="13" xfId="0" applyNumberFormat="1" applyFill="1" applyBorder="1" applyAlignment="1">
      <alignment/>
    </xf>
    <xf numFmtId="10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0" fontId="0" fillId="34" borderId="14" xfId="0" applyNumberFormat="1" applyFill="1" applyBorder="1" applyAlignment="1">
      <alignment/>
    </xf>
    <xf numFmtId="10" fontId="0" fillId="34" borderId="15" xfId="0" applyNumberFormat="1" applyFill="1" applyBorder="1" applyAlignment="1">
      <alignment/>
    </xf>
    <xf numFmtId="167" fontId="1" fillId="0" borderId="11" xfId="0" applyNumberFormat="1" applyFont="1" applyBorder="1" applyAlignment="1">
      <alignment/>
    </xf>
    <xf numFmtId="165" fontId="1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right"/>
    </xf>
    <xf numFmtId="10" fontId="0" fillId="0" borderId="16" xfId="0" applyNumberFormat="1" applyBorder="1" applyAlignment="1">
      <alignment/>
    </xf>
    <xf numFmtId="0" fontId="0" fillId="35" borderId="13" xfId="0" applyFont="1" applyFill="1" applyBorder="1" applyAlignment="1">
      <alignment horizontal="center"/>
    </xf>
    <xf numFmtId="2" fontId="0" fillId="0" borderId="0" xfId="0" applyNumberFormat="1" applyAlignment="1">
      <alignment/>
    </xf>
    <xf numFmtId="165" fontId="0" fillId="35" borderId="13" xfId="0" applyNumberFormat="1" applyFont="1" applyFill="1" applyBorder="1" applyAlignment="1">
      <alignment horizontal="center"/>
    </xf>
    <xf numFmtId="165" fontId="0" fillId="35" borderId="0" xfId="0" applyNumberFormat="1" applyFill="1" applyAlignment="1">
      <alignment horizontal="center"/>
    </xf>
    <xf numFmtId="165" fontId="0" fillId="35" borderId="13" xfId="0" applyNumberFormat="1" applyFill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3" fontId="0" fillId="0" borderId="0" xfId="0" applyNumberFormat="1" applyFont="1" applyAlignment="1">
      <alignment horizontal="center" wrapText="1"/>
    </xf>
    <xf numFmtId="165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8" fillId="0" borderId="0" xfId="0" applyNumberFormat="1" applyFont="1" applyAlignment="1">
      <alignment/>
    </xf>
    <xf numFmtId="9" fontId="0" fillId="0" borderId="0" xfId="0" applyNumberFormat="1" applyAlignment="1">
      <alignment horizontal="center"/>
    </xf>
    <xf numFmtId="165" fontId="0" fillId="0" borderId="0" xfId="0" applyNumberFormat="1" applyFont="1" applyAlignment="1">
      <alignment/>
    </xf>
    <xf numFmtId="0" fontId="0" fillId="36" borderId="10" xfId="0" applyFont="1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0" fontId="0" fillId="36" borderId="10" xfId="0" applyFill="1" applyBorder="1" applyAlignment="1">
      <alignment horizontal="right"/>
    </xf>
    <xf numFmtId="0" fontId="0" fillId="36" borderId="10" xfId="0" applyFill="1" applyBorder="1" applyAlignment="1">
      <alignment/>
    </xf>
    <xf numFmtId="3" fontId="0" fillId="36" borderId="10" xfId="0" applyNumberFormat="1" applyFill="1" applyBorder="1" applyAlignment="1">
      <alignment/>
    </xf>
    <xf numFmtId="0" fontId="0" fillId="14" borderId="10" xfId="0" applyFill="1" applyBorder="1" applyAlignment="1">
      <alignment/>
    </xf>
    <xf numFmtId="3" fontId="0" fillId="14" borderId="10" xfId="0" applyNumberFormat="1" applyFill="1" applyBorder="1" applyAlignment="1">
      <alignment/>
    </xf>
    <xf numFmtId="0" fontId="0" fillId="14" borderId="10" xfId="0" applyFill="1" applyBorder="1" applyAlignment="1">
      <alignment horizontal="right"/>
    </xf>
    <xf numFmtId="10" fontId="1" fillId="33" borderId="13" xfId="0" applyNumberFormat="1" applyFont="1" applyFill="1" applyBorder="1" applyAlignment="1">
      <alignment horizontal="center"/>
    </xf>
    <xf numFmtId="16" fontId="1" fillId="0" borderId="11" xfId="0" applyNumberFormat="1" applyFont="1" applyBorder="1" applyAlignment="1" quotePrefix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34" borderId="18" xfId="0" applyFont="1" applyFill="1" applyBorder="1" applyAlignment="1">
      <alignment horizontal="right"/>
    </xf>
    <xf numFmtId="0" fontId="1" fillId="34" borderId="19" xfId="0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1" fillId="34" borderId="20" xfId="0" applyFont="1" applyFill="1" applyBorder="1" applyAlignment="1">
      <alignment horizontal="right"/>
    </xf>
    <xf numFmtId="0" fontId="1" fillId="34" borderId="21" xfId="0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37" fontId="1" fillId="0" borderId="1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70"/>
  <sheetViews>
    <sheetView tabSelected="1" zoomScale="130" zoomScaleNormal="130" zoomScalePageLayoutView="0" workbookViewId="0" topLeftCell="A116">
      <selection activeCell="B1" sqref="B1:J1"/>
    </sheetView>
  </sheetViews>
  <sheetFormatPr defaultColWidth="9.140625" defaultRowHeight="12.75"/>
  <cols>
    <col min="1" max="1" width="23.00390625" style="0" customWidth="1"/>
    <col min="2" max="2" width="35.00390625" style="0" customWidth="1"/>
    <col min="3" max="3" width="3.140625" style="0" customWidth="1"/>
    <col min="4" max="4" width="14.57421875" style="0" customWidth="1"/>
    <col min="5" max="5" width="2.7109375" style="0" customWidth="1"/>
    <col min="6" max="6" width="11.57421875" style="0" customWidth="1"/>
    <col min="7" max="7" width="3.28125" style="0" customWidth="1"/>
    <col min="8" max="8" width="15.421875" style="0" customWidth="1"/>
    <col min="9" max="9" width="1.8515625" style="0" customWidth="1"/>
    <col min="10" max="10" width="21.140625" style="3" customWidth="1"/>
    <col min="11" max="11" width="23.00390625" style="64" customWidth="1"/>
    <col min="12" max="12" width="15.57421875" style="0" customWidth="1"/>
    <col min="13" max="13" width="13.421875" style="0" customWidth="1"/>
    <col min="14" max="14" width="7.28125" style="0" customWidth="1"/>
    <col min="15" max="15" width="10.00390625" style="0" customWidth="1"/>
    <col min="16" max="16" width="12.00390625" style="0" customWidth="1"/>
  </cols>
  <sheetData>
    <row r="1" spans="2:11" ht="26.25">
      <c r="B1" s="108" t="s">
        <v>239</v>
      </c>
      <c r="C1" s="108"/>
      <c r="D1" s="108"/>
      <c r="E1" s="108"/>
      <c r="F1" s="108"/>
      <c r="G1" s="108"/>
      <c r="H1" s="108"/>
      <c r="I1" s="108"/>
      <c r="J1" s="108"/>
      <c r="K1" s="63">
        <v>2016</v>
      </c>
    </row>
    <row r="2" spans="2:11" ht="12.75">
      <c r="B2" s="112"/>
      <c r="C2" s="112"/>
      <c r="D2" s="112"/>
      <c r="E2" s="112"/>
      <c r="F2" s="112"/>
      <c r="G2" s="112"/>
      <c r="H2" s="112"/>
      <c r="I2" s="112"/>
      <c r="J2" s="112"/>
      <c r="K2" s="63">
        <v>2015</v>
      </c>
    </row>
    <row r="3" spans="2:11" ht="12.75">
      <c r="B3" s="20" t="s">
        <v>0</v>
      </c>
      <c r="C3" s="22"/>
      <c r="D3" s="23"/>
      <c r="E3" s="23"/>
      <c r="F3" s="23"/>
      <c r="G3" s="24"/>
      <c r="H3" s="25">
        <f>+J83</f>
        <v>2103856.73555552</v>
      </c>
      <c r="I3" s="20"/>
      <c r="J3" s="21"/>
      <c r="K3" s="63">
        <v>2062118</v>
      </c>
    </row>
    <row r="4" spans="2:12" ht="12.75">
      <c r="B4" s="20" t="s">
        <v>1</v>
      </c>
      <c r="C4" s="22"/>
      <c r="D4" s="104"/>
      <c r="E4" s="104"/>
      <c r="F4" s="104"/>
      <c r="G4" s="24"/>
      <c r="H4" s="25"/>
      <c r="I4" s="20"/>
      <c r="J4" s="21"/>
      <c r="L4" s="55"/>
    </row>
    <row r="5" spans="2:10" ht="12.75">
      <c r="B5" s="20" t="s">
        <v>2</v>
      </c>
      <c r="C5" s="22"/>
      <c r="D5" s="66"/>
      <c r="E5" s="36"/>
      <c r="F5" s="23"/>
      <c r="G5" s="24"/>
      <c r="H5" s="25"/>
      <c r="I5" s="20"/>
      <c r="J5" s="21"/>
    </row>
    <row r="6" spans="2:10" ht="12.75">
      <c r="B6" s="20" t="s">
        <v>2</v>
      </c>
      <c r="C6" s="22"/>
      <c r="D6" s="66"/>
      <c r="E6" s="36"/>
      <c r="F6" s="23"/>
      <c r="G6" s="24"/>
      <c r="H6" s="25">
        <f>+J33</f>
        <v>665400</v>
      </c>
      <c r="I6" s="20"/>
      <c r="J6" s="21"/>
    </row>
    <row r="7" spans="2:11" ht="12.75">
      <c r="B7" s="20" t="s">
        <v>3</v>
      </c>
      <c r="C7" s="22"/>
      <c r="D7" s="66"/>
      <c r="E7" s="36"/>
      <c r="F7" s="23"/>
      <c r="G7" s="24"/>
      <c r="H7" s="25"/>
      <c r="I7" s="20"/>
      <c r="J7" s="21"/>
      <c r="K7" s="64" t="s">
        <v>201</v>
      </c>
    </row>
    <row r="8" spans="2:11" ht="12.75">
      <c r="B8" s="20" t="s">
        <v>4</v>
      </c>
      <c r="C8" s="22"/>
      <c r="D8" s="23"/>
      <c r="E8" s="23"/>
      <c r="F8" s="23"/>
      <c r="G8" s="24"/>
      <c r="H8" s="25">
        <f>(+H6+H7)*-1</f>
        <v>-665400</v>
      </c>
      <c r="I8" s="20"/>
      <c r="J8" s="21"/>
      <c r="K8" s="64">
        <v>2015</v>
      </c>
    </row>
    <row r="9" spans="2:11" ht="12.75">
      <c r="B9" s="20"/>
      <c r="C9" s="22"/>
      <c r="D9" s="23"/>
      <c r="E9" s="23"/>
      <c r="F9" s="23"/>
      <c r="G9" s="24"/>
      <c r="H9" s="25"/>
      <c r="I9" s="20"/>
      <c r="J9" s="21"/>
      <c r="K9" s="64">
        <v>1428181</v>
      </c>
    </row>
    <row r="10" spans="2:11" ht="12.75">
      <c r="B10" s="20" t="s">
        <v>5</v>
      </c>
      <c r="C10" s="22"/>
      <c r="D10" s="23"/>
      <c r="E10" s="23"/>
      <c r="F10" s="23"/>
      <c r="G10" s="24"/>
      <c r="H10" s="25">
        <f>+H3+H8</f>
        <v>1438456.7355555198</v>
      </c>
      <c r="I10" s="20"/>
      <c r="J10" s="75">
        <v>1411118</v>
      </c>
      <c r="K10" s="78">
        <f>((+H10-K9)/H10)</f>
        <v>0.007143583328942746</v>
      </c>
    </row>
    <row r="11" spans="2:12" ht="12.75">
      <c r="B11" s="68"/>
      <c r="C11" s="71"/>
      <c r="D11" s="71"/>
      <c r="E11" s="71"/>
      <c r="F11" s="71"/>
      <c r="G11" s="71"/>
      <c r="H11" s="69"/>
      <c r="I11" s="68"/>
      <c r="J11" s="70"/>
      <c r="K11" s="2">
        <f>+K9*L11</f>
        <v>10425.7213</v>
      </c>
      <c r="L11" s="52">
        <v>0.0073</v>
      </c>
    </row>
    <row r="12" spans="2:11" ht="13.5" hidden="1" thickTop="1">
      <c r="B12" s="72"/>
      <c r="C12" s="72"/>
      <c r="D12" s="121" t="s">
        <v>205</v>
      </c>
      <c r="E12" s="122"/>
      <c r="F12" s="122"/>
      <c r="G12" s="122"/>
      <c r="H12" s="122"/>
      <c r="I12" s="122"/>
      <c r="J12" s="73">
        <f>(+H3-K3)/H3</f>
        <v>0.0198391529471225</v>
      </c>
      <c r="K12" s="2"/>
    </row>
    <row r="13" spans="3:11" ht="13.5" hidden="1" thickBot="1">
      <c r="C13" s="72"/>
      <c r="D13" s="128" t="s">
        <v>206</v>
      </c>
      <c r="E13" s="129"/>
      <c r="F13" s="129"/>
      <c r="G13" s="129"/>
      <c r="H13" s="129"/>
      <c r="I13" s="129"/>
      <c r="J13" s="74">
        <f>(+H10-J10)/H10</f>
        <v>0.01900560154488194</v>
      </c>
      <c r="K13" s="2"/>
    </row>
    <row r="14" spans="2:11" ht="12.75">
      <c r="B14" s="68"/>
      <c r="C14" s="71"/>
      <c r="D14" s="71"/>
      <c r="E14" s="71"/>
      <c r="F14" s="71"/>
      <c r="G14" s="71"/>
      <c r="H14" s="69"/>
      <c r="I14" s="68"/>
      <c r="J14" s="70"/>
      <c r="K14" s="2">
        <f>+K9+K11</f>
        <v>1438606.7213</v>
      </c>
    </row>
    <row r="15" ht="12.75">
      <c r="K15" s="2">
        <f>+H10-K14</f>
        <v>-149.98574448027648</v>
      </c>
    </row>
    <row r="16" spans="2:11" ht="12.75">
      <c r="B16" s="111" t="s">
        <v>10</v>
      </c>
      <c r="C16" s="111"/>
      <c r="D16" s="111"/>
      <c r="E16" s="111"/>
      <c r="F16" s="111"/>
      <c r="G16" s="111"/>
      <c r="H16" s="111"/>
      <c r="I16" s="111"/>
      <c r="J16" s="107"/>
      <c r="K16" s="3"/>
    </row>
    <row r="17" spans="2:11" s="1" customFormat="1" ht="12.75">
      <c r="B17" s="9"/>
      <c r="C17" s="28"/>
      <c r="D17" s="9" t="s">
        <v>6</v>
      </c>
      <c r="E17" s="28"/>
      <c r="F17" s="9" t="s">
        <v>7</v>
      </c>
      <c r="G17" s="28"/>
      <c r="H17" s="9" t="s">
        <v>8</v>
      </c>
      <c r="I17" s="28"/>
      <c r="J17" s="26" t="s">
        <v>9</v>
      </c>
      <c r="K17" s="67"/>
    </row>
    <row r="18" spans="2:11" s="1" customFormat="1" ht="12.75">
      <c r="B18" s="9"/>
      <c r="C18" s="28"/>
      <c r="D18" s="9">
        <f>+$K$2</f>
        <v>2015</v>
      </c>
      <c r="E18" s="28"/>
      <c r="F18" s="9">
        <f>+$K$2</f>
        <v>2015</v>
      </c>
      <c r="G18" s="28"/>
      <c r="H18" s="9">
        <f>+$K$1</f>
        <v>2016</v>
      </c>
      <c r="I18" s="28"/>
      <c r="J18" s="27">
        <f>+$K$1</f>
        <v>2016</v>
      </c>
      <c r="K18" s="65"/>
    </row>
    <row r="19" spans="2:10" ht="12.75">
      <c r="B19" s="10" t="s">
        <v>134</v>
      </c>
      <c r="C19" s="15"/>
      <c r="D19" s="11">
        <v>477499</v>
      </c>
      <c r="E19" s="31"/>
      <c r="F19" s="11">
        <v>450000</v>
      </c>
      <c r="G19" s="31"/>
      <c r="H19" s="11">
        <v>650000</v>
      </c>
      <c r="I19" s="31"/>
      <c r="J19" s="11">
        <v>650000</v>
      </c>
    </row>
    <row r="20" spans="2:10" ht="12.75">
      <c r="B20" s="10"/>
      <c r="C20" s="15"/>
      <c r="D20" s="11"/>
      <c r="E20" s="31"/>
      <c r="F20" s="11"/>
      <c r="G20" s="31"/>
      <c r="H20" s="11"/>
      <c r="I20" s="31"/>
      <c r="J20" s="11"/>
    </row>
    <row r="21" spans="2:10" ht="12.75">
      <c r="B21" s="10" t="s">
        <v>135</v>
      </c>
      <c r="C21" s="15"/>
      <c r="D21" s="11">
        <v>1104</v>
      </c>
      <c r="E21" s="31"/>
      <c r="F21" s="11">
        <v>1000</v>
      </c>
      <c r="G21" s="31"/>
      <c r="H21" s="11">
        <v>1000</v>
      </c>
      <c r="I21" s="31"/>
      <c r="J21" s="11">
        <v>1000</v>
      </c>
    </row>
    <row r="22" spans="2:10" ht="12.75">
      <c r="B22" s="10"/>
      <c r="C22" s="15"/>
      <c r="D22" s="11"/>
      <c r="E22" s="31"/>
      <c r="F22" s="11"/>
      <c r="G22" s="31"/>
      <c r="H22" s="11"/>
      <c r="I22" s="31"/>
      <c r="J22" s="11"/>
    </row>
    <row r="23" spans="2:10" ht="12.75">
      <c r="B23" s="10" t="s">
        <v>136</v>
      </c>
      <c r="C23" s="15"/>
      <c r="D23" s="11"/>
      <c r="E23" s="31"/>
      <c r="F23" s="11"/>
      <c r="G23" s="31"/>
      <c r="H23" s="11"/>
      <c r="I23" s="31"/>
      <c r="J23" s="11"/>
    </row>
    <row r="24" spans="2:10" ht="12.75">
      <c r="B24" s="10"/>
      <c r="C24" s="15"/>
      <c r="D24" s="11"/>
      <c r="E24" s="31"/>
      <c r="F24" s="11"/>
      <c r="G24" s="31"/>
      <c r="H24" s="11"/>
      <c r="I24" s="31"/>
      <c r="J24" s="11"/>
    </row>
    <row r="25" spans="2:10" ht="12.75">
      <c r="B25" s="10" t="s">
        <v>213</v>
      </c>
      <c r="C25" s="15"/>
      <c r="D25" s="11"/>
      <c r="E25" s="31"/>
      <c r="F25" s="11"/>
      <c r="G25" s="31"/>
      <c r="H25" s="11"/>
      <c r="I25" s="31"/>
      <c r="J25" s="11">
        <f>1200*12</f>
        <v>14400</v>
      </c>
    </row>
    <row r="26" spans="2:10" ht="12.75">
      <c r="B26" s="10"/>
      <c r="C26" s="15"/>
      <c r="D26" s="11"/>
      <c r="E26" s="31"/>
      <c r="F26" s="11"/>
      <c r="G26" s="31"/>
      <c r="H26" s="11"/>
      <c r="I26" s="31"/>
      <c r="J26" s="11"/>
    </row>
    <row r="27" spans="2:10" ht="12.75">
      <c r="B27" s="10" t="s">
        <v>137</v>
      </c>
      <c r="C27" s="15"/>
      <c r="D27" s="11"/>
      <c r="E27" s="31"/>
      <c r="F27" s="11"/>
      <c r="G27" s="31"/>
      <c r="H27" s="11"/>
      <c r="I27" s="31"/>
      <c r="J27" s="11"/>
    </row>
    <row r="28" spans="2:10" ht="12.75">
      <c r="B28" s="10"/>
      <c r="C28" s="15"/>
      <c r="D28" s="11"/>
      <c r="E28" s="31"/>
      <c r="F28" s="11"/>
      <c r="G28" s="31"/>
      <c r="H28" s="11"/>
      <c r="I28" s="31"/>
      <c r="J28" s="11"/>
    </row>
    <row r="29" spans="2:10" ht="12.75">
      <c r="B29" s="10" t="s">
        <v>194</v>
      </c>
      <c r="C29" s="15"/>
      <c r="D29" s="11">
        <v>48282</v>
      </c>
      <c r="E29" s="31"/>
      <c r="F29" s="11">
        <v>48000</v>
      </c>
      <c r="G29" s="31"/>
      <c r="H29" s="11"/>
      <c r="I29" s="31"/>
      <c r="J29" s="11"/>
    </row>
    <row r="30" spans="2:10" ht="12.75">
      <c r="B30" s="10"/>
      <c r="C30" s="15"/>
      <c r="D30" s="11"/>
      <c r="E30" s="31"/>
      <c r="F30" s="11"/>
      <c r="G30" s="31"/>
      <c r="H30" s="11"/>
      <c r="I30" s="31"/>
      <c r="J30" s="11"/>
    </row>
    <row r="31" spans="2:10" ht="12.75">
      <c r="B31" s="10" t="s">
        <v>138</v>
      </c>
      <c r="C31" s="15"/>
      <c r="D31" s="11"/>
      <c r="E31" s="31"/>
      <c r="F31" s="11"/>
      <c r="G31" s="31"/>
      <c r="H31" s="11"/>
      <c r="I31" s="31"/>
      <c r="J31" s="11"/>
    </row>
    <row r="32" spans="2:10" ht="12.75">
      <c r="B32" s="10"/>
      <c r="C32" s="15"/>
      <c r="D32" s="11"/>
      <c r="E32" s="31"/>
      <c r="F32" s="11"/>
      <c r="G32" s="31"/>
      <c r="H32" s="11"/>
      <c r="I32" s="31"/>
      <c r="J32" s="11"/>
    </row>
    <row r="33" spans="2:10" ht="12.75">
      <c r="B33" s="29" t="s">
        <v>128</v>
      </c>
      <c r="C33" s="15"/>
      <c r="D33" s="10"/>
      <c r="E33" s="15"/>
      <c r="F33" s="10"/>
      <c r="G33" s="15"/>
      <c r="H33" s="10"/>
      <c r="I33" s="15"/>
      <c r="J33" s="30">
        <f>SUM(J19:J32)</f>
        <v>665400</v>
      </c>
    </row>
    <row r="35" spans="2:10" ht="12.75">
      <c r="B35" s="110" t="s">
        <v>13</v>
      </c>
      <c r="C35" s="110"/>
      <c r="D35" s="110"/>
      <c r="E35" s="110"/>
      <c r="F35" s="110"/>
      <c r="G35" s="110"/>
      <c r="H35" s="110"/>
      <c r="I35" s="110"/>
      <c r="J35" s="110"/>
    </row>
    <row r="36" spans="2:10" ht="12.75">
      <c r="B36" t="s">
        <v>14</v>
      </c>
      <c r="D36" s="1" t="s">
        <v>6</v>
      </c>
      <c r="E36" s="1"/>
      <c r="F36" s="1" t="s">
        <v>7</v>
      </c>
      <c r="G36" s="1"/>
      <c r="H36" s="1" t="s">
        <v>8</v>
      </c>
      <c r="I36" s="1"/>
      <c r="J36" s="4" t="s">
        <v>9</v>
      </c>
    </row>
    <row r="37" spans="4:10" ht="12.75">
      <c r="D37" s="1">
        <f>+$K$2</f>
        <v>2015</v>
      </c>
      <c r="E37" s="1"/>
      <c r="F37" s="1">
        <f>+$K$2</f>
        <v>2015</v>
      </c>
      <c r="G37" s="1"/>
      <c r="H37" s="1">
        <f>+$K$1</f>
        <v>2016</v>
      </c>
      <c r="I37" s="1"/>
      <c r="J37" s="4">
        <f>+$K$1</f>
        <v>2016</v>
      </c>
    </row>
    <row r="38" spans="2:10" ht="12.75">
      <c r="B38" s="13" t="s">
        <v>15</v>
      </c>
      <c r="C38" s="15"/>
      <c r="D38" s="11">
        <v>30900</v>
      </c>
      <c r="E38" s="31"/>
      <c r="F38" s="11">
        <v>30900</v>
      </c>
      <c r="G38" s="31"/>
      <c r="H38" s="11">
        <f>+H138</f>
        <v>31827</v>
      </c>
      <c r="I38" s="31"/>
      <c r="J38" s="11">
        <f>+H138</f>
        <v>31827</v>
      </c>
    </row>
    <row r="39" spans="2:10" ht="12.75">
      <c r="B39" s="13" t="s">
        <v>16</v>
      </c>
      <c r="C39" s="15"/>
      <c r="D39" s="11">
        <v>317991</v>
      </c>
      <c r="E39" s="31"/>
      <c r="F39" s="11">
        <v>317991</v>
      </c>
      <c r="G39" s="31"/>
      <c r="H39" s="32">
        <f>+H151-H38</f>
        <v>333793.59968</v>
      </c>
      <c r="I39" s="31"/>
      <c r="J39" s="32">
        <f>+H151-H38</f>
        <v>333793.59968</v>
      </c>
    </row>
    <row r="40" spans="2:10" ht="12.75">
      <c r="B40" s="13" t="s">
        <v>17</v>
      </c>
      <c r="C40" s="15"/>
      <c r="D40" s="11"/>
      <c r="E40" s="31"/>
      <c r="F40" s="11"/>
      <c r="G40" s="31"/>
      <c r="H40" s="11"/>
      <c r="I40" s="31"/>
      <c r="J40" s="11"/>
    </row>
    <row r="41" spans="2:10" ht="12.75">
      <c r="B41" s="13" t="s">
        <v>18</v>
      </c>
      <c r="C41" s="15"/>
      <c r="D41" s="11">
        <f>+D38+D39</f>
        <v>348891</v>
      </c>
      <c r="E41" s="31"/>
      <c r="F41" s="11">
        <f>+F38+F39</f>
        <v>348891</v>
      </c>
      <c r="G41" s="31"/>
      <c r="H41" s="11">
        <f>SUM(H38:H40)</f>
        <v>365620.59968</v>
      </c>
      <c r="I41" s="31"/>
      <c r="J41" s="11">
        <f>+J38+J39</f>
        <v>365620.59968</v>
      </c>
    </row>
    <row r="42" spans="2:10" ht="12.75">
      <c r="B42" s="13" t="s">
        <v>19</v>
      </c>
      <c r="C42" s="15"/>
      <c r="D42" s="11"/>
      <c r="E42" s="31"/>
      <c r="F42" s="11"/>
      <c r="G42" s="31"/>
      <c r="H42" s="11"/>
      <c r="I42" s="31"/>
      <c r="J42" s="11"/>
    </row>
    <row r="43" spans="2:10" ht="12.75">
      <c r="B43" s="13"/>
      <c r="C43" s="15"/>
      <c r="D43" s="11"/>
      <c r="E43" s="31"/>
      <c r="F43" s="11"/>
      <c r="G43" s="31"/>
      <c r="H43" s="11"/>
      <c r="I43" s="31"/>
      <c r="J43" s="11"/>
    </row>
    <row r="44" spans="2:10" ht="12.75">
      <c r="B44" s="13" t="s">
        <v>20</v>
      </c>
      <c r="C44" s="15"/>
      <c r="D44" s="11">
        <f>29750+46250+93258</f>
        <v>169258</v>
      </c>
      <c r="E44" s="31"/>
      <c r="F44" s="11">
        <v>168334</v>
      </c>
      <c r="G44" s="31"/>
      <c r="H44" s="11">
        <f>+H241</f>
        <v>188960</v>
      </c>
      <c r="I44" s="31"/>
      <c r="J44" s="11">
        <f>+H241</f>
        <v>188960</v>
      </c>
    </row>
    <row r="45" spans="2:10" ht="12.75">
      <c r="B45" s="13"/>
      <c r="C45" s="15"/>
      <c r="D45" s="11"/>
      <c r="E45" s="31"/>
      <c r="F45" s="11"/>
      <c r="G45" s="31"/>
      <c r="H45" s="11"/>
      <c r="I45" s="31"/>
      <c r="J45" s="11"/>
    </row>
    <row r="46" spans="2:10" ht="12.75">
      <c r="B46" s="13" t="s">
        <v>21</v>
      </c>
      <c r="C46" s="15"/>
      <c r="D46" s="11"/>
      <c r="E46" s="31"/>
      <c r="F46" s="11">
        <v>370234</v>
      </c>
      <c r="G46" s="31"/>
      <c r="H46" s="11">
        <f>+H233</f>
        <v>432517</v>
      </c>
      <c r="I46" s="31"/>
      <c r="J46" s="11">
        <f>+H229</f>
        <v>405122.8</v>
      </c>
    </row>
    <row r="47" spans="2:10" ht="12.75">
      <c r="B47" s="13" t="s">
        <v>22</v>
      </c>
      <c r="C47" s="15"/>
      <c r="D47" s="11"/>
      <c r="E47" s="31"/>
      <c r="F47" s="11"/>
      <c r="G47" s="31"/>
      <c r="H47" s="11"/>
      <c r="I47" s="31"/>
      <c r="J47" s="11"/>
    </row>
    <row r="48" spans="2:10" ht="12.75">
      <c r="B48" s="13"/>
      <c r="C48" s="15"/>
      <c r="D48" s="11"/>
      <c r="E48" s="31"/>
      <c r="F48" s="11"/>
      <c r="G48" s="31"/>
      <c r="H48" s="11"/>
      <c r="I48" s="31"/>
      <c r="J48" s="11"/>
    </row>
    <row r="49" spans="2:10" ht="12.75">
      <c r="B49" s="13" t="s">
        <v>23</v>
      </c>
      <c r="C49" s="15"/>
      <c r="D49" s="11">
        <v>461</v>
      </c>
      <c r="E49" s="31"/>
      <c r="F49" s="11">
        <v>461</v>
      </c>
      <c r="G49" s="31"/>
      <c r="H49" s="11"/>
      <c r="I49" s="31"/>
      <c r="J49" s="11">
        <v>461</v>
      </c>
    </row>
    <row r="50" spans="2:10" ht="12.75">
      <c r="B50" s="13" t="s">
        <v>11</v>
      </c>
      <c r="C50" s="15"/>
      <c r="D50" s="11"/>
      <c r="E50" s="31"/>
      <c r="F50" s="11"/>
      <c r="G50" s="31"/>
      <c r="H50" s="11"/>
      <c r="I50" s="31"/>
      <c r="J50" s="11"/>
    </row>
    <row r="51" spans="2:10" ht="12.75">
      <c r="B51" s="13"/>
      <c r="C51" s="15"/>
      <c r="D51" s="11"/>
      <c r="E51" s="31"/>
      <c r="F51" s="11"/>
      <c r="G51" s="31"/>
      <c r="H51" s="11"/>
      <c r="I51" s="31"/>
      <c r="J51" s="11"/>
    </row>
    <row r="52" spans="2:10" ht="12.75">
      <c r="B52" s="13" t="s">
        <v>24</v>
      </c>
      <c r="C52" s="15"/>
      <c r="D52" s="11">
        <v>77186</v>
      </c>
      <c r="E52" s="31"/>
      <c r="F52" s="11">
        <v>126500</v>
      </c>
      <c r="G52" s="31"/>
      <c r="H52" s="11">
        <f>+H251+H252</f>
        <v>130350</v>
      </c>
      <c r="I52" s="31"/>
      <c r="J52" s="11">
        <f>+H251+H252</f>
        <v>130350</v>
      </c>
    </row>
    <row r="53" spans="2:10" ht="12.75">
      <c r="B53" s="13" t="s">
        <v>25</v>
      </c>
      <c r="C53" s="15"/>
      <c r="D53" s="11"/>
      <c r="E53" s="31"/>
      <c r="F53" s="11"/>
      <c r="G53" s="31"/>
      <c r="H53" s="11"/>
      <c r="I53" s="31"/>
      <c r="J53" s="11"/>
    </row>
    <row r="54" spans="2:10" ht="12.75">
      <c r="B54" s="13"/>
      <c r="C54" s="15"/>
      <c r="D54" s="11"/>
      <c r="E54" s="31"/>
      <c r="F54" s="11"/>
      <c r="G54" s="31"/>
      <c r="H54" s="11"/>
      <c r="I54" s="31"/>
      <c r="J54" s="11"/>
    </row>
    <row r="55" spans="2:10" ht="12.75">
      <c r="B55" s="13" t="s">
        <v>146</v>
      </c>
      <c r="C55" s="15"/>
      <c r="D55" s="11">
        <f>18761+4371</f>
        <v>23132</v>
      </c>
      <c r="E55" s="31"/>
      <c r="F55" s="11">
        <v>46690</v>
      </c>
      <c r="G55" s="31"/>
      <c r="H55" s="11">
        <v>47970</v>
      </c>
      <c r="I55" s="31"/>
      <c r="J55" s="11">
        <f>+H154+H155+H153</f>
        <v>47969.97587552</v>
      </c>
    </row>
    <row r="56" spans="2:10" ht="12.75">
      <c r="B56" s="13"/>
      <c r="C56" s="15"/>
      <c r="D56" s="11"/>
      <c r="E56" s="31"/>
      <c r="F56" s="11"/>
      <c r="G56" s="31"/>
      <c r="H56" s="11"/>
      <c r="I56" s="31"/>
      <c r="J56" s="11"/>
    </row>
    <row r="57" spans="2:10" ht="12.75">
      <c r="B57" s="13" t="s">
        <v>26</v>
      </c>
      <c r="C57" s="15"/>
      <c r="D57" s="11">
        <v>9643</v>
      </c>
      <c r="E57" s="31"/>
      <c r="F57" s="11">
        <v>10029</v>
      </c>
      <c r="G57" s="31"/>
      <c r="H57" s="11">
        <f>+H248</f>
        <v>10430.16</v>
      </c>
      <c r="I57" s="31"/>
      <c r="J57" s="11">
        <f>+H248</f>
        <v>10430.16</v>
      </c>
    </row>
    <row r="58" spans="2:10" ht="12.75">
      <c r="B58" s="13"/>
      <c r="C58" s="15"/>
      <c r="D58" s="11"/>
      <c r="E58" s="31"/>
      <c r="F58" s="11"/>
      <c r="G58" s="31"/>
      <c r="H58" s="11"/>
      <c r="I58" s="31"/>
      <c r="J58" s="11"/>
    </row>
    <row r="59" spans="2:10" ht="12.75">
      <c r="B59" s="13" t="s">
        <v>27</v>
      </c>
      <c r="C59" s="15"/>
      <c r="D59" s="11">
        <v>58100</v>
      </c>
      <c r="E59" s="31"/>
      <c r="F59" s="11">
        <v>55200</v>
      </c>
      <c r="G59" s="31"/>
      <c r="H59" s="11">
        <v>55200</v>
      </c>
      <c r="I59" s="31"/>
      <c r="J59" s="11">
        <f>4600*12</f>
        <v>55200</v>
      </c>
    </row>
    <row r="60" spans="2:10" ht="12.75">
      <c r="B60" s="13" t="s">
        <v>28</v>
      </c>
      <c r="C60" s="15"/>
      <c r="D60" s="11"/>
      <c r="E60" s="31"/>
      <c r="F60" s="11"/>
      <c r="G60" s="31"/>
      <c r="H60" s="11"/>
      <c r="I60" s="31"/>
      <c r="J60" s="11"/>
    </row>
    <row r="61" spans="2:10" ht="12.75">
      <c r="B61" s="13"/>
      <c r="C61" s="15"/>
      <c r="D61" s="11"/>
      <c r="E61" s="31"/>
      <c r="F61" s="11"/>
      <c r="G61" s="31"/>
      <c r="H61" s="11"/>
      <c r="I61" s="31"/>
      <c r="J61" s="11"/>
    </row>
    <row r="62" spans="2:10" ht="12.75">
      <c r="B62" s="13" t="s">
        <v>29</v>
      </c>
      <c r="C62" s="15"/>
      <c r="D62" s="11">
        <v>225000</v>
      </c>
      <c r="E62" s="31"/>
      <c r="F62" s="11">
        <v>205000</v>
      </c>
      <c r="G62" s="31"/>
      <c r="H62" s="11">
        <v>225000</v>
      </c>
      <c r="I62" s="31"/>
      <c r="J62" s="11">
        <v>225000</v>
      </c>
    </row>
    <row r="63" spans="2:10" ht="12.75">
      <c r="B63" s="13" t="s">
        <v>30</v>
      </c>
      <c r="C63" s="15"/>
      <c r="D63" s="11"/>
      <c r="E63" s="31"/>
      <c r="F63" s="11"/>
      <c r="G63" s="31"/>
      <c r="H63" s="11"/>
      <c r="I63" s="31"/>
      <c r="J63" s="11"/>
    </row>
    <row r="64" spans="2:10" ht="12.75">
      <c r="B64" s="13" t="s">
        <v>31</v>
      </c>
      <c r="C64" s="15"/>
      <c r="D64" s="11">
        <v>50500</v>
      </c>
      <c r="E64" s="31"/>
      <c r="F64" s="11">
        <v>54000</v>
      </c>
      <c r="G64" s="31"/>
      <c r="H64" s="11">
        <v>54000</v>
      </c>
      <c r="I64" s="31"/>
      <c r="J64" s="11">
        <f>+H264</f>
        <v>46000</v>
      </c>
    </row>
    <row r="65" spans="2:10" ht="12.75">
      <c r="B65" s="13" t="s">
        <v>32</v>
      </c>
      <c r="C65" s="15"/>
      <c r="D65" s="11"/>
      <c r="E65" s="31"/>
      <c r="F65" s="11"/>
      <c r="G65" s="31"/>
      <c r="H65" s="11"/>
      <c r="I65" s="31"/>
      <c r="J65" s="11"/>
    </row>
    <row r="66" spans="2:10" ht="12.75">
      <c r="B66" s="13"/>
      <c r="C66" s="15"/>
      <c r="D66" s="11"/>
      <c r="E66" s="31"/>
      <c r="F66" s="11"/>
      <c r="G66" s="31"/>
      <c r="H66" s="11"/>
      <c r="I66" s="31"/>
      <c r="J66" s="11"/>
    </row>
    <row r="67" spans="2:10" ht="12.75">
      <c r="B67" s="13" t="s">
        <v>33</v>
      </c>
      <c r="C67" s="15"/>
      <c r="D67" s="11">
        <v>400000</v>
      </c>
      <c r="E67" s="31"/>
      <c r="F67" s="11">
        <v>400000</v>
      </c>
      <c r="G67" s="31"/>
      <c r="H67" s="11">
        <v>400000</v>
      </c>
      <c r="I67" s="31"/>
      <c r="J67" s="11">
        <f>+F264</f>
        <v>400000</v>
      </c>
    </row>
    <row r="68" spans="2:10" ht="12.75">
      <c r="B68" s="13" t="s">
        <v>34</v>
      </c>
      <c r="C68" s="15"/>
      <c r="D68" s="11"/>
      <c r="E68" s="31"/>
      <c r="F68" s="11"/>
      <c r="G68" s="31"/>
      <c r="H68" s="11"/>
      <c r="I68" s="31"/>
      <c r="J68" s="11"/>
    </row>
    <row r="69" spans="2:10" ht="12.75">
      <c r="B69" s="13"/>
      <c r="C69" s="15"/>
      <c r="D69" s="11"/>
      <c r="E69" s="31"/>
      <c r="F69" s="11"/>
      <c r="G69" s="31"/>
      <c r="H69" s="11"/>
      <c r="I69" s="31"/>
      <c r="J69" s="11"/>
    </row>
    <row r="70" spans="2:10" ht="12.75">
      <c r="B70" s="13" t="s">
        <v>35</v>
      </c>
      <c r="C70" s="15"/>
      <c r="D70" s="11"/>
      <c r="E70" s="31"/>
      <c r="F70" s="11"/>
      <c r="G70" s="31"/>
      <c r="H70" s="11"/>
      <c r="I70" s="31"/>
      <c r="J70" s="11"/>
    </row>
    <row r="71" spans="2:10" ht="12.75">
      <c r="B71" s="13" t="s">
        <v>36</v>
      </c>
      <c r="C71" s="15"/>
      <c r="D71" s="11">
        <v>50000</v>
      </c>
      <c r="E71" s="31"/>
      <c r="F71" s="11">
        <v>100000</v>
      </c>
      <c r="G71" s="31"/>
      <c r="H71" s="11">
        <v>100000</v>
      </c>
      <c r="I71" s="31"/>
      <c r="J71" s="11">
        <v>100000</v>
      </c>
    </row>
    <row r="72" spans="2:10" ht="12.75">
      <c r="B72" s="77"/>
      <c r="C72" s="15"/>
      <c r="D72" s="11"/>
      <c r="E72" s="31"/>
      <c r="F72" s="11"/>
      <c r="G72" s="31"/>
      <c r="H72" s="11"/>
      <c r="I72" s="31"/>
      <c r="J72" s="11"/>
    </row>
    <row r="73" spans="2:10" ht="12.75">
      <c r="B73" s="13" t="s">
        <v>37</v>
      </c>
      <c r="C73" s="15"/>
      <c r="D73" s="11">
        <v>30000</v>
      </c>
      <c r="E73" s="31"/>
      <c r="F73" s="11">
        <v>100000</v>
      </c>
      <c r="G73" s="31"/>
      <c r="H73" s="11">
        <v>100000</v>
      </c>
      <c r="I73" s="31"/>
      <c r="J73" s="102">
        <v>20500</v>
      </c>
    </row>
    <row r="74" spans="2:10" ht="12.75">
      <c r="B74" s="13" t="s">
        <v>131</v>
      </c>
      <c r="C74" s="15"/>
      <c r="D74" s="11">
        <v>14375</v>
      </c>
      <c r="E74" s="31"/>
      <c r="F74" s="11">
        <v>14500</v>
      </c>
      <c r="G74" s="31"/>
      <c r="H74" s="11"/>
      <c r="I74" s="31"/>
      <c r="J74" s="11">
        <v>14500</v>
      </c>
    </row>
    <row r="75" spans="2:10" ht="12.75">
      <c r="B75" s="13"/>
      <c r="C75" s="15"/>
      <c r="D75" s="11"/>
      <c r="E75" s="31"/>
      <c r="F75" s="11"/>
      <c r="G75" s="31"/>
      <c r="H75" s="11"/>
      <c r="I75" s="31"/>
      <c r="J75" s="11"/>
    </row>
    <row r="76" spans="2:10" ht="12.75">
      <c r="B76" s="13" t="s">
        <v>167</v>
      </c>
      <c r="C76" s="15"/>
      <c r="D76" s="11">
        <f>14721+10255</f>
        <v>24976</v>
      </c>
      <c r="E76" s="31"/>
      <c r="F76" s="11">
        <v>28000</v>
      </c>
      <c r="G76" s="31"/>
      <c r="H76" s="11">
        <v>28000</v>
      </c>
      <c r="I76" s="31"/>
      <c r="J76" s="11">
        <f>+H270</f>
        <v>28000</v>
      </c>
    </row>
    <row r="77" spans="2:10" ht="12.75">
      <c r="B77" s="13"/>
      <c r="C77" s="15"/>
      <c r="D77" s="11"/>
      <c r="E77" s="31"/>
      <c r="F77" s="11"/>
      <c r="G77" s="31"/>
      <c r="H77" s="11"/>
      <c r="I77" s="31"/>
      <c r="J77" s="11"/>
    </row>
    <row r="78" spans="2:10" ht="12.75">
      <c r="B78" s="13"/>
      <c r="C78" s="15"/>
      <c r="D78" s="11"/>
      <c r="E78" s="31"/>
      <c r="F78" s="11"/>
      <c r="G78" s="31"/>
      <c r="H78" s="11"/>
      <c r="I78" s="31"/>
      <c r="J78" s="11"/>
    </row>
    <row r="79" spans="2:10" ht="12.75">
      <c r="B79" s="13" t="s">
        <v>38</v>
      </c>
      <c r="C79" s="15"/>
      <c r="D79" s="11">
        <v>38348</v>
      </c>
      <c r="E79" s="31"/>
      <c r="F79" s="11">
        <v>38348</v>
      </c>
      <c r="G79" s="31"/>
      <c r="H79" s="11">
        <v>40000</v>
      </c>
      <c r="I79" s="31"/>
      <c r="J79" s="11">
        <f>+H152</f>
        <v>38348</v>
      </c>
    </row>
    <row r="80" spans="2:10" ht="12.75">
      <c r="B80" s="13"/>
      <c r="C80" s="15"/>
      <c r="D80" s="11"/>
      <c r="E80" s="31"/>
      <c r="F80" s="11"/>
      <c r="G80" s="31"/>
      <c r="H80" s="11"/>
      <c r="I80" s="31"/>
      <c r="J80" s="11"/>
    </row>
    <row r="81" spans="2:10" ht="12.75">
      <c r="B81" s="13" t="s">
        <v>39</v>
      </c>
      <c r="C81" s="15"/>
      <c r="D81" s="11">
        <v>27394</v>
      </c>
      <c r="E81" s="31"/>
      <c r="F81" s="11">
        <v>27394</v>
      </c>
      <c r="G81" s="31"/>
      <c r="H81" s="11">
        <v>27394</v>
      </c>
      <c r="I81" s="31"/>
      <c r="J81" s="11">
        <f>+H258</f>
        <v>27394.199999999997</v>
      </c>
    </row>
    <row r="82" spans="2:10" ht="12.75">
      <c r="B82" s="13"/>
      <c r="C82" s="15"/>
      <c r="D82" s="11"/>
      <c r="E82" s="31"/>
      <c r="F82" s="11"/>
      <c r="G82" s="31"/>
      <c r="H82" s="11"/>
      <c r="I82" s="31"/>
      <c r="J82" s="11"/>
    </row>
    <row r="83" spans="2:10" ht="12.75">
      <c r="B83" s="13" t="s">
        <v>12</v>
      </c>
      <c r="C83" s="15"/>
      <c r="D83" s="11"/>
      <c r="E83" s="31"/>
      <c r="F83" s="11">
        <v>2093581</v>
      </c>
      <c r="G83" s="31"/>
      <c r="H83" s="11"/>
      <c r="I83" s="31"/>
      <c r="J83" s="11">
        <f>SUM(J41:J82)</f>
        <v>2103856.73555552</v>
      </c>
    </row>
    <row r="84" ht="12.75">
      <c r="B84" s="12"/>
    </row>
    <row r="85" spans="2:6" ht="12.75">
      <c r="B85" s="6"/>
      <c r="C85" s="6"/>
      <c r="D85" s="6" t="s">
        <v>40</v>
      </c>
      <c r="E85" s="6"/>
      <c r="F85" s="6"/>
    </row>
    <row r="86" spans="2:6" ht="12.75">
      <c r="B86" s="6"/>
      <c r="C86" s="6"/>
      <c r="D86" s="6" t="s">
        <v>41</v>
      </c>
      <c r="E86" s="6"/>
      <c r="F86" s="6"/>
    </row>
    <row r="87" spans="2:6" ht="12.75">
      <c r="B87" s="6"/>
      <c r="C87" s="6"/>
      <c r="D87" s="6"/>
      <c r="E87" s="6"/>
      <c r="F87" s="6"/>
    </row>
    <row r="88" spans="2:6" ht="12.75">
      <c r="B88" s="6" t="s">
        <v>46</v>
      </c>
      <c r="C88" s="6"/>
      <c r="D88" s="6"/>
      <c r="E88" s="6"/>
      <c r="F88" s="6"/>
    </row>
    <row r="89" spans="2:8" ht="12.75">
      <c r="B89" s="6"/>
      <c r="C89" s="6"/>
      <c r="D89" s="109" t="s">
        <v>218</v>
      </c>
      <c r="E89" s="109"/>
      <c r="F89" s="109"/>
      <c r="H89" s="3">
        <v>6332703</v>
      </c>
    </row>
    <row r="90" spans="2:8" ht="12.75">
      <c r="B90" s="6"/>
      <c r="C90" s="6"/>
      <c r="D90" s="6"/>
      <c r="E90" s="6"/>
      <c r="F90" s="6"/>
      <c r="H90" s="3"/>
    </row>
    <row r="91" spans="2:8" ht="12.75">
      <c r="B91" s="6"/>
      <c r="C91" s="6"/>
      <c r="D91" s="109" t="s">
        <v>42</v>
      </c>
      <c r="E91" s="109"/>
      <c r="F91" s="109"/>
      <c r="H91" s="52">
        <v>0.0095</v>
      </c>
    </row>
    <row r="92" spans="2:8" ht="12.75">
      <c r="B92" s="6"/>
      <c r="C92" s="6"/>
      <c r="D92" s="6"/>
      <c r="E92" s="6"/>
      <c r="F92" s="6"/>
      <c r="H92" s="3"/>
    </row>
    <row r="93" spans="2:8" ht="12.75">
      <c r="B93" s="6"/>
      <c r="C93" s="6"/>
      <c r="D93" s="109" t="s">
        <v>43</v>
      </c>
      <c r="E93" s="109"/>
      <c r="F93" s="109"/>
      <c r="H93" s="3">
        <f>+H89/H91</f>
        <v>666600315.7894737</v>
      </c>
    </row>
    <row r="94" spans="2:8" ht="12.75">
      <c r="B94" s="6" t="s">
        <v>174</v>
      </c>
      <c r="C94" s="6"/>
      <c r="D94" s="7"/>
      <c r="E94" s="7"/>
      <c r="F94" s="7"/>
      <c r="H94" s="3"/>
    </row>
    <row r="95" spans="2:8" ht="12.75">
      <c r="B95" s="6" t="s">
        <v>175</v>
      </c>
      <c r="C95" s="6"/>
      <c r="D95" s="7"/>
      <c r="E95" s="7"/>
      <c r="F95" s="7"/>
      <c r="H95" s="3"/>
    </row>
    <row r="96" spans="2:8" ht="12.75">
      <c r="B96" s="6" t="s">
        <v>176</v>
      </c>
      <c r="C96" s="6"/>
      <c r="D96" s="7"/>
      <c r="E96" s="7"/>
      <c r="F96" s="7"/>
      <c r="H96" s="3"/>
    </row>
    <row r="97" spans="2:8" ht="12.75">
      <c r="B97" s="6" t="s">
        <v>177</v>
      </c>
      <c r="C97" s="6"/>
      <c r="D97" s="7"/>
      <c r="E97" s="7"/>
      <c r="F97" s="7"/>
      <c r="H97" s="3"/>
    </row>
    <row r="98" spans="2:6" ht="12.75">
      <c r="B98" s="6"/>
      <c r="C98" s="6"/>
      <c r="D98" s="132" t="s">
        <v>44</v>
      </c>
      <c r="E98" s="132"/>
      <c r="F98" s="132"/>
    </row>
    <row r="99" spans="2:6" ht="12.75">
      <c r="B99" s="6"/>
      <c r="C99" s="6"/>
      <c r="D99" s="6"/>
      <c r="E99" s="6"/>
      <c r="F99" s="6"/>
    </row>
    <row r="100" spans="2:6" ht="12.75">
      <c r="B100" s="6"/>
      <c r="C100" s="6"/>
      <c r="D100" s="16" t="s">
        <v>45</v>
      </c>
      <c r="E100" s="6"/>
      <c r="F100" s="16" t="s">
        <v>48</v>
      </c>
    </row>
    <row r="101" spans="2:6" ht="12.75">
      <c r="B101" s="6" t="s">
        <v>49</v>
      </c>
      <c r="C101" s="6"/>
      <c r="D101" s="6" t="s">
        <v>207</v>
      </c>
      <c r="E101" s="6"/>
      <c r="F101" s="17" t="s">
        <v>47</v>
      </c>
    </row>
    <row r="103" spans="2:8" ht="12.75">
      <c r="B103" s="18" t="s">
        <v>50</v>
      </c>
      <c r="C103" s="19"/>
      <c r="D103" s="11">
        <f>+H89</f>
        <v>6332703</v>
      </c>
      <c r="E103" s="37"/>
      <c r="F103" s="53">
        <f>+H91</f>
        <v>0.0095</v>
      </c>
      <c r="G103" s="38"/>
      <c r="H103" s="11">
        <f>+H93</f>
        <v>666600315.7894737</v>
      </c>
    </row>
    <row r="104" spans="2:8" ht="12.75">
      <c r="B104" s="18"/>
      <c r="C104" s="19"/>
      <c r="D104" s="10"/>
      <c r="E104" s="37"/>
      <c r="F104" s="51"/>
      <c r="G104" s="38"/>
      <c r="H104" s="11"/>
    </row>
    <row r="105" spans="2:8" ht="12.75">
      <c r="B105" s="18" t="s">
        <v>51</v>
      </c>
      <c r="C105" s="19"/>
      <c r="D105" s="10"/>
      <c r="E105" s="37"/>
      <c r="F105" s="51"/>
      <c r="G105" s="38"/>
      <c r="H105" s="11">
        <f>1000000*-1</f>
        <v>-1000000</v>
      </c>
    </row>
    <row r="106" spans="2:8" ht="12.75">
      <c r="B106" s="18"/>
      <c r="C106" s="19"/>
      <c r="D106" s="10"/>
      <c r="E106" s="37"/>
      <c r="F106" s="51"/>
      <c r="G106" s="38"/>
      <c r="H106" s="11">
        <f>+H103+H105</f>
        <v>665600315.7894737</v>
      </c>
    </row>
    <row r="107" spans="2:8" ht="12.75">
      <c r="B107" s="18"/>
      <c r="C107" s="19"/>
      <c r="D107" s="10"/>
      <c r="E107" s="37"/>
      <c r="F107" s="51"/>
      <c r="G107" s="38"/>
      <c r="H107" s="11"/>
    </row>
    <row r="108" spans="2:8" ht="12.75">
      <c r="B108" s="18" t="s">
        <v>52</v>
      </c>
      <c r="C108" s="19"/>
      <c r="D108" s="10"/>
      <c r="E108" s="37"/>
      <c r="F108" s="51"/>
      <c r="G108" s="38"/>
      <c r="H108" s="44">
        <v>0.001</v>
      </c>
    </row>
    <row r="109" spans="2:8" ht="12.75">
      <c r="B109" s="18"/>
      <c r="C109" s="19"/>
      <c r="D109" s="10"/>
      <c r="E109" s="37"/>
      <c r="F109" s="51"/>
      <c r="G109" s="38"/>
      <c r="H109" s="11"/>
    </row>
    <row r="110" spans="2:8" ht="12.75">
      <c r="B110" s="18" t="s">
        <v>53</v>
      </c>
      <c r="C110" s="19"/>
      <c r="D110" s="10"/>
      <c r="E110" s="37"/>
      <c r="F110" s="51"/>
      <c r="G110" s="38"/>
      <c r="H110" s="11">
        <f>+H106*H108</f>
        <v>665600.3157894737</v>
      </c>
    </row>
    <row r="111" spans="2:8" ht="12.75">
      <c r="B111" s="18" t="s">
        <v>54</v>
      </c>
      <c r="C111" s="19"/>
      <c r="D111" s="10"/>
      <c r="E111" s="37"/>
      <c r="F111" s="51"/>
      <c r="G111" s="38"/>
      <c r="H111" s="11">
        <v>2000</v>
      </c>
    </row>
    <row r="112" spans="2:8" ht="12.75">
      <c r="B112" s="18"/>
      <c r="C112" s="19"/>
      <c r="D112" s="10"/>
      <c r="E112" s="37"/>
      <c r="F112" s="51"/>
      <c r="G112" s="38"/>
      <c r="H112" s="11"/>
    </row>
    <row r="113" spans="2:8" ht="12.75">
      <c r="B113" s="18" t="s">
        <v>55</v>
      </c>
      <c r="C113" s="50"/>
      <c r="D113" s="49">
        <f>+K1</f>
        <v>2016</v>
      </c>
      <c r="E113" s="37"/>
      <c r="F113" s="51"/>
      <c r="G113" s="38"/>
      <c r="H113" s="11">
        <f>+H110+H111</f>
        <v>667600.3157894737</v>
      </c>
    </row>
    <row r="114" spans="2:8" ht="12.75">
      <c r="B114" s="107" t="s">
        <v>56</v>
      </c>
      <c r="C114" s="133"/>
      <c r="D114" s="133"/>
      <c r="E114" s="133"/>
      <c r="F114" s="133"/>
      <c r="G114" s="106"/>
      <c r="H114" s="10"/>
    </row>
    <row r="115" spans="2:8" ht="12.75">
      <c r="B115" s="130" t="s">
        <v>57</v>
      </c>
      <c r="C115" s="123"/>
      <c r="D115" s="123"/>
      <c r="E115" s="123"/>
      <c r="F115" s="123"/>
      <c r="G115" s="124"/>
      <c r="H115" s="11">
        <f>+J41</f>
        <v>365620.59968</v>
      </c>
    </row>
    <row r="116" spans="2:8" ht="12.75">
      <c r="B116" s="130" t="s">
        <v>58</v>
      </c>
      <c r="C116" s="123"/>
      <c r="D116" s="123"/>
      <c r="E116" s="123"/>
      <c r="F116" s="123"/>
      <c r="G116" s="124"/>
      <c r="H116" s="11">
        <f>+J52</f>
        <v>130350</v>
      </c>
    </row>
    <row r="117" spans="2:8" ht="12.75">
      <c r="B117" s="45"/>
      <c r="C117" s="46"/>
      <c r="D117" s="123" t="s">
        <v>59</v>
      </c>
      <c r="E117" s="123"/>
      <c r="F117" s="123"/>
      <c r="G117" s="124"/>
      <c r="H117" s="11">
        <f>+H258</f>
        <v>27394.199999999997</v>
      </c>
    </row>
    <row r="118" spans="2:8" ht="12.75">
      <c r="B118" s="45"/>
      <c r="C118" s="46"/>
      <c r="D118" s="123" t="s">
        <v>60</v>
      </c>
      <c r="E118" s="123"/>
      <c r="F118" s="123"/>
      <c r="G118" s="124"/>
      <c r="H118" s="11">
        <f>+H154</f>
        <v>22668.47718016</v>
      </c>
    </row>
    <row r="119" spans="2:8" ht="12.75">
      <c r="B119" s="45"/>
      <c r="C119" s="46"/>
      <c r="D119" s="123" t="s">
        <v>61</v>
      </c>
      <c r="E119" s="123"/>
      <c r="F119" s="123"/>
      <c r="G119" s="124"/>
      <c r="H119" s="11">
        <f>+H155</f>
        <v>5301.49869536</v>
      </c>
    </row>
    <row r="120" spans="2:8" ht="12.75">
      <c r="B120" s="45"/>
      <c r="C120" s="46"/>
      <c r="D120" s="123" t="str">
        <f>+B153</f>
        <v>Health Insurance</v>
      </c>
      <c r="E120" s="123"/>
      <c r="F120" s="123"/>
      <c r="G120" s="124"/>
      <c r="H120" s="11">
        <f>+H153</f>
        <v>20000</v>
      </c>
    </row>
    <row r="121" spans="2:8" ht="12.75">
      <c r="B121" s="45"/>
      <c r="C121" s="46"/>
      <c r="D121" s="123" t="s">
        <v>62</v>
      </c>
      <c r="E121" s="123"/>
      <c r="F121" s="123"/>
      <c r="G121" s="124"/>
      <c r="H121" s="11">
        <f>+J62</f>
        <v>225000</v>
      </c>
    </row>
    <row r="122" spans="2:8" ht="12.75">
      <c r="B122" s="45"/>
      <c r="C122" s="46"/>
      <c r="D122" s="125" t="str">
        <f>+B76</f>
        <v>Gas &amp; Diesel for Emergency Vehicles</v>
      </c>
      <c r="E122" s="126"/>
      <c r="F122" s="126"/>
      <c r="G122" s="127"/>
      <c r="H122" s="60">
        <f>+J76</f>
        <v>28000</v>
      </c>
    </row>
    <row r="123" spans="2:8" ht="12.75">
      <c r="B123" s="45"/>
      <c r="C123" s="46"/>
      <c r="D123" s="123" t="s">
        <v>63</v>
      </c>
      <c r="E123" s="123"/>
      <c r="F123" s="123"/>
      <c r="G123" s="124"/>
      <c r="H123" s="11">
        <f>+J71+J73</f>
        <v>120500</v>
      </c>
    </row>
    <row r="124" spans="2:8" ht="12.75">
      <c r="B124" s="45"/>
      <c r="C124" s="46"/>
      <c r="D124" s="123" t="s">
        <v>64</v>
      </c>
      <c r="E124" s="123"/>
      <c r="F124" s="123"/>
      <c r="G124" s="124"/>
      <c r="H124" s="11">
        <f>+J64+J67</f>
        <v>446000</v>
      </c>
    </row>
    <row r="125" spans="2:8" ht="12.75">
      <c r="B125" s="45"/>
      <c r="C125" s="46"/>
      <c r="D125" s="123" t="s">
        <v>65</v>
      </c>
      <c r="E125" s="123"/>
      <c r="F125" s="123"/>
      <c r="G125" s="124"/>
      <c r="H125" s="11">
        <f>+J74</f>
        <v>14500</v>
      </c>
    </row>
    <row r="126" spans="2:8" ht="12.75">
      <c r="B126" s="45"/>
      <c r="C126" s="46"/>
      <c r="D126" s="123" t="s">
        <v>66</v>
      </c>
      <c r="E126" s="123"/>
      <c r="F126" s="123"/>
      <c r="G126" s="124"/>
      <c r="H126" s="11">
        <f>+J57</f>
        <v>10430.16</v>
      </c>
    </row>
    <row r="127" spans="2:8" ht="12.75">
      <c r="B127" s="45"/>
      <c r="C127" s="46"/>
      <c r="D127" s="123" t="s">
        <v>38</v>
      </c>
      <c r="E127" s="123"/>
      <c r="F127" s="123"/>
      <c r="G127" s="124"/>
      <c r="H127" s="11">
        <f>+H152</f>
        <v>38348</v>
      </c>
    </row>
    <row r="128" spans="2:8" ht="12.75">
      <c r="B128" s="45"/>
      <c r="C128" s="46"/>
      <c r="D128" s="123" t="s">
        <v>67</v>
      </c>
      <c r="E128" s="123"/>
      <c r="F128" s="123"/>
      <c r="G128" s="124"/>
      <c r="H128" s="11">
        <f>+J59</f>
        <v>55200</v>
      </c>
    </row>
    <row r="129" spans="2:8" ht="12.75">
      <c r="B129" s="45"/>
      <c r="C129" s="46"/>
      <c r="D129" s="123" t="s">
        <v>68</v>
      </c>
      <c r="E129" s="123"/>
      <c r="F129" s="123"/>
      <c r="G129" s="124"/>
      <c r="H129" s="11">
        <f>+J49</f>
        <v>461</v>
      </c>
    </row>
    <row r="130" spans="2:8" ht="12.75">
      <c r="B130" s="131" t="s">
        <v>139</v>
      </c>
      <c r="C130" s="131"/>
      <c r="D130" s="131"/>
      <c r="E130" s="131"/>
      <c r="F130" s="131"/>
      <c r="G130" s="131"/>
      <c r="H130" s="21">
        <f>SUM(H113:H129)</f>
        <v>2177374.2513449937</v>
      </c>
    </row>
    <row r="131" spans="2:8" ht="12.75">
      <c r="B131" s="119" t="s">
        <v>140</v>
      </c>
      <c r="C131" s="119"/>
      <c r="D131" s="119"/>
      <c r="E131" s="119"/>
      <c r="F131" s="119"/>
      <c r="G131" s="119"/>
      <c r="H131" s="21">
        <f>+J83</f>
        <v>2103856.73555552</v>
      </c>
    </row>
    <row r="132" spans="4:8" ht="12.75">
      <c r="D132" s="120" t="s">
        <v>141</v>
      </c>
      <c r="E132" s="120"/>
      <c r="F132" s="120"/>
      <c r="G132" s="120"/>
      <c r="H132" s="54">
        <f>+H130-H131</f>
        <v>73517.5157894739</v>
      </c>
    </row>
    <row r="135" spans="2:9" ht="12.75">
      <c r="B135" s="116" t="s">
        <v>69</v>
      </c>
      <c r="C135" s="116"/>
      <c r="D135" s="116"/>
      <c r="E135" s="116"/>
      <c r="F135" s="116"/>
      <c r="G135" s="116"/>
      <c r="H135" s="116"/>
      <c r="I135" s="56"/>
    </row>
    <row r="136" spans="2:8" ht="12.75">
      <c r="B136" s="10"/>
      <c r="C136" s="37"/>
      <c r="D136" s="106" t="s">
        <v>129</v>
      </c>
      <c r="E136" s="111"/>
      <c r="F136" s="33">
        <v>0.03</v>
      </c>
      <c r="G136" s="37"/>
      <c r="H136" s="38"/>
    </row>
    <row r="137" spans="2:13" ht="12.75">
      <c r="B137" s="10"/>
      <c r="C137" s="34"/>
      <c r="D137" s="79" t="s">
        <v>220</v>
      </c>
      <c r="E137" s="35"/>
      <c r="F137" s="9">
        <f>K2</f>
        <v>2015</v>
      </c>
      <c r="G137" s="28"/>
      <c r="H137" s="9">
        <f>K1</f>
        <v>2016</v>
      </c>
      <c r="J137" s="86"/>
      <c r="K137" s="88"/>
      <c r="M137" s="84"/>
    </row>
    <row r="138" spans="2:11" ht="12.75">
      <c r="B138" s="8" t="s">
        <v>70</v>
      </c>
      <c r="C138" s="34"/>
      <c r="D138" s="79" t="s">
        <v>208</v>
      </c>
      <c r="E138" s="35"/>
      <c r="F138" s="14">
        <v>30900</v>
      </c>
      <c r="G138" s="15"/>
      <c r="H138" s="14">
        <f>+Payroll!G4</f>
        <v>31827</v>
      </c>
      <c r="K138" s="89"/>
    </row>
    <row r="139" spans="2:11" ht="12.75">
      <c r="B139" s="8" t="s">
        <v>71</v>
      </c>
      <c r="C139" s="34"/>
      <c r="D139" s="79" t="s">
        <v>208</v>
      </c>
      <c r="E139" s="35"/>
      <c r="F139" s="14">
        <v>16974.4</v>
      </c>
      <c r="G139" s="15"/>
      <c r="H139" s="14">
        <f>+Payroll!G5</f>
        <v>17483.632</v>
      </c>
      <c r="K139" s="89"/>
    </row>
    <row r="140" spans="2:11" ht="12.75">
      <c r="B140" s="8" t="s">
        <v>204</v>
      </c>
      <c r="C140" s="34"/>
      <c r="D140" s="81">
        <v>25</v>
      </c>
      <c r="E140" s="35"/>
      <c r="F140" s="14">
        <v>26000</v>
      </c>
      <c r="G140" s="15"/>
      <c r="H140" s="14">
        <f>+Payroll!G6</f>
        <v>27037.5</v>
      </c>
      <c r="J140" s="80"/>
      <c r="K140" s="89"/>
    </row>
    <row r="141" spans="2:11" ht="12.75">
      <c r="B141" s="8" t="s">
        <v>72</v>
      </c>
      <c r="C141" s="34"/>
      <c r="D141" s="81">
        <v>33.99</v>
      </c>
      <c r="E141" s="35"/>
      <c r="F141" s="14">
        <v>10000</v>
      </c>
      <c r="G141" s="15"/>
      <c r="H141" s="14">
        <f>+Payroll!G7</f>
        <v>10475.1</v>
      </c>
      <c r="J141" s="80"/>
      <c r="K141" s="89"/>
    </row>
    <row r="142" spans="2:11" ht="12.75">
      <c r="B142" s="8" t="s">
        <v>73</v>
      </c>
      <c r="C142" s="34"/>
      <c r="D142" s="82"/>
      <c r="E142" s="35"/>
      <c r="F142" s="14"/>
      <c r="G142" s="15"/>
      <c r="H142" s="14"/>
      <c r="J142" s="80"/>
      <c r="K142" s="89"/>
    </row>
    <row r="143" spans="2:13" ht="12.75">
      <c r="B143" s="59" t="s">
        <v>163</v>
      </c>
      <c r="C143" s="34"/>
      <c r="D143" s="83">
        <v>23.42</v>
      </c>
      <c r="E143" s="35"/>
      <c r="F143" s="14">
        <v>9743</v>
      </c>
      <c r="G143" s="15"/>
      <c r="H143" s="14">
        <f>+Payroll!G9</f>
        <v>10035.001600000001</v>
      </c>
      <c r="J143" s="87"/>
      <c r="K143" s="89"/>
      <c r="L143" s="2"/>
      <c r="M143" s="85"/>
    </row>
    <row r="144" spans="2:13" ht="12.75">
      <c r="B144" s="59" t="s">
        <v>215</v>
      </c>
      <c r="C144" s="34"/>
      <c r="D144" s="83">
        <v>26.5</v>
      </c>
      <c r="E144" s="35"/>
      <c r="F144" s="14">
        <v>55120</v>
      </c>
      <c r="G144" s="15"/>
      <c r="H144" s="14">
        <f>+Payroll!G10</f>
        <v>56773.600000000006</v>
      </c>
      <c r="J144" s="87"/>
      <c r="K144" s="89"/>
      <c r="L144" s="2"/>
      <c r="M144" s="85"/>
    </row>
    <row r="145" spans="2:13" ht="12.75">
      <c r="B145" s="59" t="s">
        <v>217</v>
      </c>
      <c r="C145" s="34"/>
      <c r="D145" s="83">
        <v>25</v>
      </c>
      <c r="E145" s="35"/>
      <c r="F145" s="14">
        <v>52000</v>
      </c>
      <c r="G145" s="15"/>
      <c r="H145" s="14">
        <f>+Payroll!G11</f>
        <v>53560</v>
      </c>
      <c r="J145" s="87"/>
      <c r="K145" s="89"/>
      <c r="L145" s="2"/>
      <c r="M145" s="85"/>
    </row>
    <row r="146" spans="2:13" ht="12.75">
      <c r="B146" s="59" t="s">
        <v>216</v>
      </c>
      <c r="C146" s="34"/>
      <c r="D146" s="83">
        <v>24.12</v>
      </c>
      <c r="E146" s="35"/>
      <c r="F146" s="14">
        <v>100300</v>
      </c>
      <c r="G146" s="15"/>
      <c r="H146" s="14">
        <f>+Payroll!G12</f>
        <v>103349.376</v>
      </c>
      <c r="J146" s="87"/>
      <c r="K146" s="89"/>
      <c r="L146" s="2"/>
      <c r="M146" s="85"/>
    </row>
    <row r="147" spans="2:13" ht="12.75">
      <c r="B147" s="59"/>
      <c r="C147" s="34"/>
      <c r="D147" s="83"/>
      <c r="E147" s="35"/>
      <c r="F147" s="14"/>
      <c r="G147" s="15"/>
      <c r="H147" s="14"/>
      <c r="J147" s="87"/>
      <c r="K147" s="89"/>
      <c r="L147" s="2"/>
      <c r="M147" s="85"/>
    </row>
    <row r="148" spans="2:13" ht="12.75">
      <c r="B148" s="8" t="s">
        <v>130</v>
      </c>
      <c r="C148" s="34"/>
      <c r="D148" s="81">
        <v>18</v>
      </c>
      <c r="E148" s="35"/>
      <c r="F148" s="14">
        <v>33100.08</v>
      </c>
      <c r="G148" s="15"/>
      <c r="H148" s="14">
        <f>+Payroll!G14</f>
        <v>38563.2</v>
      </c>
      <c r="J148" s="87"/>
      <c r="K148" s="89"/>
      <c r="L148" s="2"/>
      <c r="M148" s="85"/>
    </row>
    <row r="149" spans="2:13" ht="12.75">
      <c r="B149" s="8" t="s">
        <v>171</v>
      </c>
      <c r="C149" s="34"/>
      <c r="D149" s="81">
        <v>12.5</v>
      </c>
      <c r="E149" s="35"/>
      <c r="F149" s="14">
        <v>10300</v>
      </c>
      <c r="G149" s="15"/>
      <c r="H149" s="14">
        <f>+Payroll!G15</f>
        <v>10712</v>
      </c>
      <c r="J149" s="87"/>
      <c r="K149" s="89"/>
      <c r="L149" s="2"/>
      <c r="M149" s="85"/>
    </row>
    <row r="150" spans="2:12" ht="12.75">
      <c r="B150" s="8" t="s">
        <v>210</v>
      </c>
      <c r="C150" s="34"/>
      <c r="D150" s="36"/>
      <c r="E150" s="35"/>
      <c r="F150" s="14">
        <f>(+F143+F144+F148+F149)*0.05</f>
        <v>5413.154</v>
      </c>
      <c r="G150" s="15"/>
      <c r="H150" s="14">
        <f>(+H143+H144+H148+H149)*0.05</f>
        <v>5804.19008</v>
      </c>
      <c r="J150" s="2"/>
      <c r="L150" s="2"/>
    </row>
    <row r="151" spans="2:12" ht="12.75">
      <c r="B151" s="8"/>
      <c r="C151" s="34"/>
      <c r="D151" s="36"/>
      <c r="E151" s="35"/>
      <c r="F151" s="14">
        <f>SUM(F138:F150)</f>
        <v>349850.634</v>
      </c>
      <c r="G151" s="15"/>
      <c r="H151" s="14">
        <f>SUM(H138:H150)</f>
        <v>365620.59968</v>
      </c>
      <c r="J151" s="2"/>
      <c r="L151" s="2"/>
    </row>
    <row r="152" spans="2:8" ht="12.75">
      <c r="B152" s="8" t="s">
        <v>74</v>
      </c>
      <c r="C152" s="34"/>
      <c r="D152" s="36"/>
      <c r="E152" s="35"/>
      <c r="F152" s="14">
        <v>47162</v>
      </c>
      <c r="G152" s="15"/>
      <c r="H152" s="14">
        <v>38348</v>
      </c>
    </row>
    <row r="153" spans="2:11" ht="12.75">
      <c r="B153" s="8" t="s">
        <v>192</v>
      </c>
      <c r="C153" s="34"/>
      <c r="D153" s="36"/>
      <c r="E153" s="35"/>
      <c r="F153" s="14"/>
      <c r="G153" s="15"/>
      <c r="H153" s="14">
        <v>20000</v>
      </c>
      <c r="K153" s="3"/>
    </row>
    <row r="154" spans="2:8" ht="12.75">
      <c r="B154" s="8" t="s">
        <v>75</v>
      </c>
      <c r="C154" s="34"/>
      <c r="D154" s="36"/>
      <c r="E154" s="35"/>
      <c r="F154" s="14">
        <f>+((SUM(F138:F150)*0.124)*0.5)</f>
        <v>21690.739308</v>
      </c>
      <c r="G154" s="15"/>
      <c r="H154" s="14">
        <f>+((SUM(H138:H150)*0.124)*0.5)</f>
        <v>22668.47718016</v>
      </c>
    </row>
    <row r="155" spans="2:8" ht="12.75">
      <c r="B155" s="8" t="s">
        <v>76</v>
      </c>
      <c r="C155" s="34"/>
      <c r="D155" s="36"/>
      <c r="E155" s="35"/>
      <c r="F155" s="14">
        <f>+(((SUM(F138:F150)*0.029)*0.5))</f>
        <v>5072.834193000001</v>
      </c>
      <c r="G155" s="15"/>
      <c r="H155" s="14">
        <f>+(((SUM(H138:H150)*0.029)*0.5))</f>
        <v>5301.49869536</v>
      </c>
    </row>
    <row r="156" ht="12.75">
      <c r="H156" s="2"/>
    </row>
    <row r="157" spans="2:8" ht="12.75">
      <c r="B157" s="41"/>
      <c r="C157" s="42"/>
      <c r="D157" s="42"/>
      <c r="E157" s="42"/>
      <c r="F157" s="43"/>
      <c r="G157" s="42"/>
      <c r="H157" s="43"/>
    </row>
    <row r="158" spans="2:8" ht="12.75">
      <c r="B158" s="41"/>
      <c r="C158" s="42"/>
      <c r="D158" s="42"/>
      <c r="E158" s="42"/>
      <c r="F158" s="43"/>
      <c r="G158" s="42"/>
      <c r="H158" s="43"/>
    </row>
    <row r="159" spans="2:8" ht="12.75">
      <c r="B159" s="118" t="s">
        <v>77</v>
      </c>
      <c r="C159" s="118"/>
      <c r="D159" s="118"/>
      <c r="E159" s="118"/>
      <c r="F159" s="118"/>
      <c r="G159" s="118"/>
      <c r="H159" s="118"/>
    </row>
    <row r="160" spans="2:8" ht="12.75">
      <c r="B160" s="110" t="s">
        <v>78</v>
      </c>
      <c r="C160" s="110"/>
      <c r="D160" s="110"/>
      <c r="E160" s="110"/>
      <c r="F160" s="110"/>
      <c r="G160" s="110"/>
      <c r="H160" s="110"/>
    </row>
    <row r="162" spans="2:8" ht="12.75">
      <c r="B162" s="10"/>
      <c r="C162" s="10"/>
      <c r="D162" s="107" t="str">
        <f>"Budget "&amp;K2</f>
        <v>Budget 2015</v>
      </c>
      <c r="E162" s="106"/>
      <c r="F162" s="105">
        <v>42246</v>
      </c>
      <c r="G162" s="106"/>
      <c r="H162" s="9" t="str">
        <f>"Budget "&amp;K1</f>
        <v>Budget 2016</v>
      </c>
    </row>
    <row r="163" spans="2:8" ht="12.75">
      <c r="B163" s="10"/>
      <c r="C163" s="10"/>
      <c r="D163" s="18"/>
      <c r="E163" s="19"/>
      <c r="F163" s="107" t="s">
        <v>166</v>
      </c>
      <c r="G163" s="106"/>
      <c r="H163" s="8"/>
    </row>
    <row r="164" spans="2:8" ht="12.75">
      <c r="B164" s="10" t="s">
        <v>79</v>
      </c>
      <c r="C164" s="10"/>
      <c r="D164" s="10">
        <v>3500</v>
      </c>
      <c r="E164" s="11"/>
      <c r="F164" s="11">
        <v>6700</v>
      </c>
      <c r="G164" s="11"/>
      <c r="H164" s="10">
        <v>3500</v>
      </c>
    </row>
    <row r="165" spans="2:8" ht="12.75">
      <c r="B165" s="10" t="s">
        <v>183</v>
      </c>
      <c r="C165" s="10"/>
      <c r="D165" s="10">
        <v>3000</v>
      </c>
      <c r="E165" s="11"/>
      <c r="F165" s="11">
        <v>12208</v>
      </c>
      <c r="G165" s="11"/>
      <c r="H165" s="10">
        <v>3000</v>
      </c>
    </row>
    <row r="166" spans="2:8" ht="12.75">
      <c r="B166" s="10" t="s">
        <v>80</v>
      </c>
      <c r="C166" s="10"/>
      <c r="D166" s="10">
        <v>600</v>
      </c>
      <c r="E166" s="11"/>
      <c r="F166" s="11">
        <v>410</v>
      </c>
      <c r="G166" s="11"/>
      <c r="H166" s="10">
        <v>600</v>
      </c>
    </row>
    <row r="167" spans="2:8" ht="12.75">
      <c r="B167" s="10" t="s">
        <v>154</v>
      </c>
      <c r="C167" s="10"/>
      <c r="D167" s="10"/>
      <c r="E167" s="11"/>
      <c r="F167" s="11"/>
      <c r="G167" s="11"/>
      <c r="H167" s="10"/>
    </row>
    <row r="168" spans="2:8" ht="12.75">
      <c r="B168" s="57" t="s">
        <v>159</v>
      </c>
      <c r="C168" s="10"/>
      <c r="D168" s="10">
        <v>4000</v>
      </c>
      <c r="E168" s="11"/>
      <c r="F168" s="11">
        <v>3440</v>
      </c>
      <c r="G168" s="11"/>
      <c r="H168" s="10">
        <v>4000</v>
      </c>
    </row>
    <row r="169" spans="2:8" ht="12.75">
      <c r="B169" s="57" t="s">
        <v>164</v>
      </c>
      <c r="C169" s="10"/>
      <c r="D169" s="10">
        <v>700</v>
      </c>
      <c r="E169" s="11"/>
      <c r="F169" s="11">
        <v>700</v>
      </c>
      <c r="G169" s="11"/>
      <c r="H169" s="10">
        <v>700</v>
      </c>
    </row>
    <row r="170" spans="2:8" ht="12.75">
      <c r="B170" s="57" t="s">
        <v>182</v>
      </c>
      <c r="C170" s="10"/>
      <c r="D170" s="10">
        <v>4500</v>
      </c>
      <c r="E170" s="11"/>
      <c r="F170" s="11">
        <v>4380</v>
      </c>
      <c r="G170" s="11"/>
      <c r="H170" s="10">
        <v>4500</v>
      </c>
    </row>
    <row r="171" spans="2:8" ht="12.75">
      <c r="B171" s="57"/>
      <c r="C171" s="10"/>
      <c r="D171" s="10"/>
      <c r="E171" s="11"/>
      <c r="F171" s="11"/>
      <c r="G171" s="11"/>
      <c r="H171" s="10"/>
    </row>
    <row r="172" spans="2:8" ht="12.75">
      <c r="B172" s="57" t="s">
        <v>162</v>
      </c>
      <c r="C172" s="10"/>
      <c r="D172" s="10">
        <v>600</v>
      </c>
      <c r="E172" s="11"/>
      <c r="F172" s="11">
        <v>815</v>
      </c>
      <c r="G172" s="11"/>
      <c r="H172" s="10">
        <v>600</v>
      </c>
    </row>
    <row r="173" spans="2:8" ht="12.75">
      <c r="B173" s="57" t="s">
        <v>186</v>
      </c>
      <c r="C173" s="10"/>
      <c r="D173" s="10">
        <f>40*12</f>
        <v>480</v>
      </c>
      <c r="E173" s="11"/>
      <c r="F173" s="11">
        <v>440</v>
      </c>
      <c r="G173" s="11"/>
      <c r="H173" s="10">
        <v>0</v>
      </c>
    </row>
    <row r="174" spans="2:8" ht="12.75">
      <c r="B174" s="57" t="s">
        <v>160</v>
      </c>
      <c r="C174" s="10"/>
      <c r="D174" s="10"/>
      <c r="E174" s="11"/>
      <c r="F174" s="11"/>
      <c r="G174" s="11"/>
      <c r="H174" s="10"/>
    </row>
    <row r="175" spans="2:8" ht="12.75">
      <c r="B175" s="57" t="s">
        <v>187</v>
      </c>
      <c r="C175" s="10"/>
      <c r="D175" s="10">
        <f>45*12</f>
        <v>540</v>
      </c>
      <c r="E175" s="11"/>
      <c r="F175" s="11">
        <v>1368</v>
      </c>
      <c r="G175" s="11"/>
      <c r="H175" s="10">
        <f>45*12</f>
        <v>540</v>
      </c>
    </row>
    <row r="176" spans="2:8" ht="12.75">
      <c r="B176" s="57" t="s">
        <v>161</v>
      </c>
      <c r="C176" s="10"/>
      <c r="D176" s="10">
        <v>600</v>
      </c>
      <c r="E176" s="11"/>
      <c r="F176" s="11">
        <v>600</v>
      </c>
      <c r="G176" s="11"/>
      <c r="H176" s="10">
        <v>600</v>
      </c>
    </row>
    <row r="177" spans="2:8" ht="12.75">
      <c r="B177" s="57" t="s">
        <v>155</v>
      </c>
      <c r="C177" s="10"/>
      <c r="D177" s="10">
        <v>3000</v>
      </c>
      <c r="E177" s="11"/>
      <c r="F177" s="11">
        <v>2100</v>
      </c>
      <c r="G177" s="11"/>
      <c r="H177" s="10">
        <v>3000</v>
      </c>
    </row>
    <row r="178" spans="2:8" ht="12.75">
      <c r="B178" s="57" t="s">
        <v>156</v>
      </c>
      <c r="C178" s="10"/>
      <c r="D178" s="10">
        <v>5000</v>
      </c>
      <c r="E178" s="11"/>
      <c r="F178" s="11">
        <v>5480</v>
      </c>
      <c r="G178" s="11"/>
      <c r="H178" s="10">
        <v>5000</v>
      </c>
    </row>
    <row r="179" spans="2:8" ht="12.75">
      <c r="B179" s="57" t="s">
        <v>157</v>
      </c>
      <c r="C179" s="10"/>
      <c r="D179" s="10">
        <v>1050</v>
      </c>
      <c r="E179" s="11"/>
      <c r="F179" s="11">
        <v>1050</v>
      </c>
      <c r="G179" s="11"/>
      <c r="H179" s="10">
        <v>1050</v>
      </c>
    </row>
    <row r="180" spans="2:8" ht="12.75">
      <c r="B180" s="57" t="s">
        <v>158</v>
      </c>
      <c r="C180" s="10"/>
      <c r="D180" s="10">
        <v>450</v>
      </c>
      <c r="E180" s="11"/>
      <c r="F180" s="11">
        <v>475</v>
      </c>
      <c r="G180" s="11"/>
      <c r="H180" s="10">
        <v>450</v>
      </c>
    </row>
    <row r="181" spans="2:8" ht="12.75">
      <c r="B181" s="10" t="s">
        <v>81</v>
      </c>
      <c r="C181" s="10"/>
      <c r="D181" s="10">
        <v>20000</v>
      </c>
      <c r="E181" s="11"/>
      <c r="F181" s="11">
        <v>12800</v>
      </c>
      <c r="G181" s="11"/>
      <c r="H181" s="10">
        <v>20000</v>
      </c>
    </row>
    <row r="182" spans="2:8" ht="12.75">
      <c r="B182" s="10" t="s">
        <v>82</v>
      </c>
      <c r="C182" s="10"/>
      <c r="D182" s="10">
        <v>12000</v>
      </c>
      <c r="E182" s="11"/>
      <c r="F182" s="11">
        <v>12800</v>
      </c>
      <c r="G182" s="11"/>
      <c r="H182" s="10">
        <v>12000</v>
      </c>
    </row>
    <row r="183" spans="2:8" ht="12.75">
      <c r="B183" s="10" t="s">
        <v>191</v>
      </c>
      <c r="C183" s="10"/>
      <c r="D183" s="10">
        <v>5000</v>
      </c>
      <c r="E183" s="11"/>
      <c r="F183" s="11">
        <v>10000</v>
      </c>
      <c r="G183" s="11"/>
      <c r="H183" s="10">
        <v>5000</v>
      </c>
    </row>
    <row r="184" spans="2:8" ht="12.75">
      <c r="B184" s="10" t="s">
        <v>83</v>
      </c>
      <c r="C184" s="10"/>
      <c r="D184" s="10">
        <v>3000</v>
      </c>
      <c r="E184" s="11"/>
      <c r="F184" s="11">
        <v>510</v>
      </c>
      <c r="G184" s="11"/>
      <c r="H184" s="10">
        <v>3000</v>
      </c>
    </row>
    <row r="185" spans="2:8" ht="12.75">
      <c r="B185" s="10" t="s">
        <v>84</v>
      </c>
      <c r="C185" s="10"/>
      <c r="D185" s="10">
        <v>200</v>
      </c>
      <c r="E185" s="11"/>
      <c r="F185" s="11">
        <v>81</v>
      </c>
      <c r="G185" s="11"/>
      <c r="H185" s="10">
        <v>200</v>
      </c>
    </row>
    <row r="186" spans="2:8" ht="12.75">
      <c r="B186" s="10" t="s">
        <v>85</v>
      </c>
      <c r="C186" s="10"/>
      <c r="D186" s="10">
        <v>1650</v>
      </c>
      <c r="E186" s="11"/>
      <c r="F186" s="11">
        <v>1500</v>
      </c>
      <c r="G186" s="11"/>
      <c r="H186" s="10">
        <v>1650</v>
      </c>
    </row>
    <row r="187" spans="2:8" ht="12.75">
      <c r="B187" s="10" t="s">
        <v>86</v>
      </c>
      <c r="C187" s="10"/>
      <c r="D187" s="10"/>
      <c r="E187" s="11"/>
      <c r="F187" s="11"/>
      <c r="G187" s="11"/>
      <c r="H187" s="10"/>
    </row>
    <row r="188" spans="2:8" ht="12.75">
      <c r="B188" s="57" t="s">
        <v>172</v>
      </c>
      <c r="C188" s="10"/>
      <c r="D188" s="10">
        <v>2500</v>
      </c>
      <c r="E188" s="11"/>
      <c r="F188" s="11">
        <v>2200</v>
      </c>
      <c r="G188" s="11"/>
      <c r="H188" s="10">
        <v>2500</v>
      </c>
    </row>
    <row r="189" spans="2:8" ht="12.75">
      <c r="B189" s="57" t="s">
        <v>173</v>
      </c>
      <c r="C189" s="10"/>
      <c r="D189" s="10">
        <v>8000</v>
      </c>
      <c r="E189" s="11"/>
      <c r="F189" s="11">
        <v>9000</v>
      </c>
      <c r="G189" s="11"/>
      <c r="H189" s="10">
        <v>8000</v>
      </c>
    </row>
    <row r="190" spans="2:8" ht="12.75">
      <c r="B190" s="101" t="s">
        <v>87</v>
      </c>
      <c r="C190" s="101"/>
      <c r="D190" s="101">
        <v>25000</v>
      </c>
      <c r="E190" s="102"/>
      <c r="F190" s="102">
        <v>23000</v>
      </c>
      <c r="G190" s="102"/>
      <c r="H190" s="101">
        <v>41000</v>
      </c>
    </row>
    <row r="191" spans="2:8" ht="12.75">
      <c r="B191" s="10" t="s">
        <v>88</v>
      </c>
      <c r="C191" s="10"/>
      <c r="D191" s="10"/>
      <c r="E191" s="11"/>
      <c r="F191" s="11"/>
      <c r="G191" s="11"/>
      <c r="H191" s="10"/>
    </row>
    <row r="192" spans="2:8" ht="12.75">
      <c r="B192" s="10" t="s">
        <v>89</v>
      </c>
      <c r="C192" s="10"/>
      <c r="D192" s="10">
        <v>500</v>
      </c>
      <c r="E192" s="11"/>
      <c r="F192" s="11">
        <v>1200</v>
      </c>
      <c r="G192" s="11"/>
      <c r="H192" s="10">
        <v>500</v>
      </c>
    </row>
    <row r="193" spans="2:8" ht="12.75">
      <c r="B193" s="101" t="s">
        <v>91</v>
      </c>
      <c r="C193" s="101"/>
      <c r="D193" s="101">
        <v>16000</v>
      </c>
      <c r="E193" s="102"/>
      <c r="F193" s="102">
        <v>10600</v>
      </c>
      <c r="G193" s="102"/>
      <c r="H193" s="101">
        <v>13000</v>
      </c>
    </row>
    <row r="194" spans="2:8" ht="12.75">
      <c r="B194" s="10" t="s">
        <v>92</v>
      </c>
      <c r="C194" s="10"/>
      <c r="D194" s="10">
        <v>4000</v>
      </c>
      <c r="E194" s="11"/>
      <c r="F194" s="11">
        <v>6176</v>
      </c>
      <c r="G194" s="11"/>
      <c r="H194" s="10">
        <v>4000</v>
      </c>
    </row>
    <row r="195" spans="2:8" ht="12.75">
      <c r="B195" s="10" t="s">
        <v>184</v>
      </c>
      <c r="C195" s="10"/>
      <c r="D195" s="10">
        <v>35000</v>
      </c>
      <c r="E195" s="11"/>
      <c r="F195" s="11">
        <v>55520</v>
      </c>
      <c r="G195" s="11"/>
      <c r="H195" s="10">
        <v>35000</v>
      </c>
    </row>
    <row r="196" spans="2:8" ht="12.75">
      <c r="B196" s="10" t="s">
        <v>189</v>
      </c>
      <c r="C196" s="10"/>
      <c r="D196" s="10">
        <v>2000</v>
      </c>
      <c r="E196" s="11"/>
      <c r="F196" s="11">
        <v>1975</v>
      </c>
      <c r="G196" s="11"/>
      <c r="H196" s="10">
        <v>2000</v>
      </c>
    </row>
    <row r="197" spans="2:8" ht="12.75">
      <c r="B197" s="96" t="s">
        <v>236</v>
      </c>
      <c r="C197" s="96"/>
      <c r="D197" s="96"/>
      <c r="E197" s="97"/>
      <c r="F197" s="97"/>
      <c r="G197" s="97"/>
      <c r="H197" s="96">
        <v>10000</v>
      </c>
    </row>
    <row r="198" spans="2:8" ht="12.75">
      <c r="B198" s="10" t="s">
        <v>93</v>
      </c>
      <c r="C198" s="10"/>
      <c r="D198" s="10">
        <v>25000</v>
      </c>
      <c r="E198" s="11"/>
      <c r="F198" s="11">
        <v>61400</v>
      </c>
      <c r="G198" s="11"/>
      <c r="H198" s="10">
        <v>25000</v>
      </c>
    </row>
    <row r="199" spans="2:8" ht="12.75">
      <c r="B199" s="10" t="s">
        <v>153</v>
      </c>
      <c r="C199" s="10"/>
      <c r="D199" s="10"/>
      <c r="E199" s="11"/>
      <c r="F199" s="11"/>
      <c r="G199" s="11"/>
      <c r="H199" s="10"/>
    </row>
    <row r="200" spans="2:8" ht="12.75">
      <c r="B200" s="57" t="s">
        <v>185</v>
      </c>
      <c r="C200" s="10"/>
      <c r="D200" s="10">
        <f>432*12</f>
        <v>5184</v>
      </c>
      <c r="E200" s="11"/>
      <c r="F200" s="11">
        <v>6581</v>
      </c>
      <c r="G200" s="11"/>
      <c r="H200" s="10">
        <f>432*12</f>
        <v>5184</v>
      </c>
    </row>
    <row r="201" spans="2:8" ht="12.75">
      <c r="B201" s="57" t="s">
        <v>132</v>
      </c>
      <c r="C201" s="10"/>
      <c r="D201" s="10">
        <f>675*12</f>
        <v>8100</v>
      </c>
      <c r="E201" s="11"/>
      <c r="F201" s="11">
        <v>6150</v>
      </c>
      <c r="G201" s="11"/>
      <c r="H201" s="10">
        <f>675*12</f>
        <v>8100</v>
      </c>
    </row>
    <row r="202" spans="2:8" ht="12.75">
      <c r="B202" s="57" t="s">
        <v>133</v>
      </c>
      <c r="C202" s="10"/>
      <c r="D202" s="10">
        <f>275*12</f>
        <v>3300</v>
      </c>
      <c r="E202" s="11"/>
      <c r="F202" s="11">
        <v>2022</v>
      </c>
      <c r="G202" s="11"/>
      <c r="H202" s="10">
        <f>275*12</f>
        <v>3300</v>
      </c>
    </row>
    <row r="203" spans="2:8" ht="12.75">
      <c r="B203" s="10" t="s">
        <v>94</v>
      </c>
      <c r="C203" s="10"/>
      <c r="D203" s="10">
        <v>875</v>
      </c>
      <c r="E203" s="11"/>
      <c r="F203" s="11">
        <v>1300</v>
      </c>
      <c r="G203" s="11"/>
      <c r="H203" s="10">
        <v>875</v>
      </c>
    </row>
    <row r="204" spans="2:8" ht="12.75">
      <c r="B204" s="10" t="s">
        <v>95</v>
      </c>
      <c r="C204" s="10"/>
      <c r="D204" s="10"/>
      <c r="E204" s="11"/>
      <c r="F204" s="11"/>
      <c r="G204" s="11"/>
      <c r="H204" s="10"/>
    </row>
    <row r="205" spans="2:8" ht="12.75">
      <c r="B205" s="57" t="s">
        <v>96</v>
      </c>
      <c r="C205" s="10"/>
      <c r="D205" s="10">
        <v>14000</v>
      </c>
      <c r="E205" s="11"/>
      <c r="F205" s="11">
        <v>20000</v>
      </c>
      <c r="G205" s="11"/>
      <c r="H205" s="10">
        <v>14000</v>
      </c>
    </row>
    <row r="206" spans="2:8" ht="12.75">
      <c r="B206" s="98" t="s">
        <v>235</v>
      </c>
      <c r="C206" s="99"/>
      <c r="D206" s="99">
        <v>0</v>
      </c>
      <c r="E206" s="100"/>
      <c r="F206" s="100">
        <v>39100</v>
      </c>
      <c r="G206" s="100"/>
      <c r="H206" s="99">
        <v>15000</v>
      </c>
    </row>
    <row r="207" spans="2:8" ht="12.75">
      <c r="B207" s="57" t="s">
        <v>97</v>
      </c>
      <c r="C207" s="10"/>
      <c r="D207" s="10">
        <v>1500</v>
      </c>
      <c r="E207" s="11"/>
      <c r="F207" s="11">
        <v>660</v>
      </c>
      <c r="G207" s="11"/>
      <c r="H207" s="10">
        <v>1500</v>
      </c>
    </row>
    <row r="208" spans="2:8" ht="12.75">
      <c r="B208" s="57" t="s">
        <v>188</v>
      </c>
      <c r="C208" s="10"/>
      <c r="D208" s="10">
        <v>1200</v>
      </c>
      <c r="E208" s="11"/>
      <c r="F208" s="11">
        <v>1500</v>
      </c>
      <c r="G208" s="11"/>
      <c r="H208" s="10">
        <v>1500</v>
      </c>
    </row>
    <row r="209" spans="2:8" ht="12.75">
      <c r="B209" s="10" t="s">
        <v>147</v>
      </c>
      <c r="C209" s="10"/>
      <c r="D209" s="10"/>
      <c r="E209" s="11"/>
      <c r="F209" s="11"/>
      <c r="G209" s="11"/>
      <c r="H209" s="10"/>
    </row>
    <row r="210" spans="2:8" ht="12.75">
      <c r="B210" s="103" t="s">
        <v>90</v>
      </c>
      <c r="C210" s="101"/>
      <c r="D210" s="101">
        <v>40000</v>
      </c>
      <c r="E210" s="102"/>
      <c r="F210" s="102">
        <v>23000</v>
      </c>
      <c r="G210" s="102"/>
      <c r="H210" s="101">
        <v>35000</v>
      </c>
    </row>
    <row r="211" spans="2:8" ht="12.75">
      <c r="B211" s="57" t="s">
        <v>190</v>
      </c>
      <c r="C211" s="10"/>
      <c r="D211" s="10">
        <v>300</v>
      </c>
      <c r="E211" s="11"/>
      <c r="F211" s="11">
        <v>1700</v>
      </c>
      <c r="G211" s="11"/>
      <c r="H211" s="10">
        <v>300</v>
      </c>
    </row>
    <row r="212" spans="2:8" ht="12.75">
      <c r="B212" s="57" t="s">
        <v>148</v>
      </c>
      <c r="C212" s="10"/>
      <c r="D212" s="10">
        <v>1185</v>
      </c>
      <c r="E212" s="11"/>
      <c r="F212" s="11">
        <v>1700</v>
      </c>
      <c r="G212" s="11"/>
      <c r="H212" s="10">
        <v>1185</v>
      </c>
    </row>
    <row r="213" spans="2:8" ht="12.75">
      <c r="B213" s="10" t="s">
        <v>98</v>
      </c>
      <c r="C213" s="10"/>
      <c r="D213" s="10">
        <v>500</v>
      </c>
      <c r="E213" s="11"/>
      <c r="F213" s="11">
        <v>400</v>
      </c>
      <c r="G213" s="11"/>
      <c r="H213" s="10">
        <v>500</v>
      </c>
    </row>
    <row r="214" spans="2:8" ht="12.75">
      <c r="B214" s="10" t="s">
        <v>99</v>
      </c>
      <c r="C214" s="10"/>
      <c r="D214" s="10">
        <v>25000</v>
      </c>
      <c r="E214" s="11"/>
      <c r="F214" s="11">
        <v>27880</v>
      </c>
      <c r="G214" s="11"/>
      <c r="H214" s="10">
        <v>25000</v>
      </c>
    </row>
    <row r="215" spans="2:8" ht="12.75">
      <c r="B215" s="10" t="s">
        <v>151</v>
      </c>
      <c r="C215" s="10"/>
      <c r="D215" s="10"/>
      <c r="E215" s="11"/>
      <c r="F215" s="11"/>
      <c r="G215" s="11"/>
      <c r="H215" s="10"/>
    </row>
    <row r="216" spans="2:8" ht="12.75">
      <c r="B216" s="57" t="s">
        <v>100</v>
      </c>
      <c r="C216" s="10"/>
      <c r="D216" s="10">
        <v>3500</v>
      </c>
      <c r="E216" s="11"/>
      <c r="F216" s="11"/>
      <c r="G216" s="11"/>
      <c r="H216" s="10">
        <v>3500</v>
      </c>
    </row>
    <row r="217" spans="2:8" ht="12.75">
      <c r="B217" s="57" t="s">
        <v>193</v>
      </c>
      <c r="C217" s="10"/>
      <c r="D217" s="10">
        <v>1400</v>
      </c>
      <c r="E217" s="11"/>
      <c r="F217" s="11"/>
      <c r="G217" s="11"/>
      <c r="H217" s="10">
        <v>1400</v>
      </c>
    </row>
    <row r="218" spans="2:8" ht="12.75">
      <c r="B218" s="57" t="s">
        <v>214</v>
      </c>
      <c r="C218" s="10"/>
      <c r="D218" s="10">
        <v>2200</v>
      </c>
      <c r="E218" s="11"/>
      <c r="F218" s="11"/>
      <c r="G218" s="11"/>
      <c r="H218" s="10">
        <v>2200</v>
      </c>
    </row>
    <row r="219" spans="2:8" ht="12.75">
      <c r="B219" s="57" t="s">
        <v>101</v>
      </c>
      <c r="C219" s="10"/>
      <c r="D219" s="10">
        <v>2100</v>
      </c>
      <c r="E219" s="11"/>
      <c r="F219" s="11"/>
      <c r="G219" s="11"/>
      <c r="H219" s="10">
        <v>2100</v>
      </c>
    </row>
    <row r="220" spans="2:8" ht="12.75">
      <c r="B220" s="57" t="s">
        <v>142</v>
      </c>
      <c r="C220" s="10"/>
      <c r="D220" s="10">
        <v>3300</v>
      </c>
      <c r="E220" s="11"/>
      <c r="F220" s="11"/>
      <c r="G220" s="11"/>
      <c r="H220" s="10">
        <v>3300</v>
      </c>
    </row>
    <row r="221" spans="2:8" ht="12.75">
      <c r="B221" s="10" t="s">
        <v>149</v>
      </c>
      <c r="C221" s="10"/>
      <c r="D221" s="10"/>
      <c r="E221" s="11"/>
      <c r="F221" s="11"/>
      <c r="G221" s="11"/>
      <c r="H221" s="10"/>
    </row>
    <row r="222" spans="2:8" ht="12.75">
      <c r="B222" s="57" t="s">
        <v>150</v>
      </c>
      <c r="C222" s="10"/>
      <c r="D222" s="11"/>
      <c r="E222" s="11"/>
      <c r="F222" s="11"/>
      <c r="G222" s="11"/>
      <c r="H222" s="11"/>
    </row>
    <row r="223" spans="2:8" ht="12.75">
      <c r="B223" s="57" t="s">
        <v>144</v>
      </c>
      <c r="C223" s="10"/>
      <c r="D223" s="11">
        <v>44358</v>
      </c>
      <c r="E223" s="11"/>
      <c r="F223" s="11">
        <v>53780</v>
      </c>
      <c r="G223" s="11"/>
      <c r="H223" s="11">
        <f>+H245</f>
        <v>46132.32</v>
      </c>
    </row>
    <row r="224" spans="2:8" ht="12.75">
      <c r="B224" s="57" t="s">
        <v>145</v>
      </c>
      <c r="C224" s="10"/>
      <c r="D224" s="11">
        <v>7362</v>
      </c>
      <c r="E224" s="11"/>
      <c r="F224" s="11"/>
      <c r="G224" s="11"/>
      <c r="H224" s="11">
        <f>+H247</f>
        <v>7656.48</v>
      </c>
    </row>
    <row r="225" spans="2:8" ht="12.75">
      <c r="B225" s="58" t="s">
        <v>152</v>
      </c>
      <c r="C225" s="10"/>
      <c r="D225" s="11"/>
      <c r="E225" s="11"/>
      <c r="F225" s="11"/>
      <c r="G225" s="11"/>
      <c r="H225" s="11"/>
    </row>
    <row r="226" spans="2:8" ht="12.75">
      <c r="B226" s="57" t="s">
        <v>102</v>
      </c>
      <c r="C226" s="10"/>
      <c r="D226" s="10">
        <v>13000</v>
      </c>
      <c r="E226" s="11"/>
      <c r="F226" s="11">
        <v>12000</v>
      </c>
      <c r="G226" s="11"/>
      <c r="H226" s="10">
        <v>13000</v>
      </c>
    </row>
    <row r="227" spans="2:8" ht="12.75">
      <c r="B227" s="57" t="s">
        <v>178</v>
      </c>
      <c r="C227" s="10"/>
      <c r="D227" s="10">
        <v>1000</v>
      </c>
      <c r="E227" s="11"/>
      <c r="F227" s="11">
        <v>1515</v>
      </c>
      <c r="G227" s="11"/>
      <c r="H227" s="10">
        <v>1000</v>
      </c>
    </row>
    <row r="228" spans="2:8" ht="12.75">
      <c r="B228" s="57" t="s">
        <v>103</v>
      </c>
      <c r="C228" s="10"/>
      <c r="D228" s="10">
        <v>3000</v>
      </c>
      <c r="E228" s="11"/>
      <c r="F228" s="11">
        <v>2822</v>
      </c>
      <c r="G228" s="11"/>
      <c r="H228" s="10">
        <v>3000</v>
      </c>
    </row>
    <row r="229" spans="2:8" ht="12.75">
      <c r="B229" s="10" t="s">
        <v>104</v>
      </c>
      <c r="C229" s="10"/>
      <c r="D229" s="11">
        <f>SUM(D164:D228)</f>
        <v>370234</v>
      </c>
      <c r="E229" s="11"/>
      <c r="F229" s="11"/>
      <c r="G229" s="11"/>
      <c r="H229" s="11">
        <f>SUM(H164:H228)</f>
        <v>405122.8</v>
      </c>
    </row>
    <row r="231" spans="2:8" ht="12.75">
      <c r="B231" s="110" t="s">
        <v>105</v>
      </c>
      <c r="C231" s="110"/>
      <c r="D231" s="110"/>
      <c r="E231" s="110"/>
      <c r="F231" s="110"/>
      <c r="G231" s="110"/>
      <c r="H231" s="110"/>
    </row>
    <row r="232" spans="2:8" ht="12.75">
      <c r="B232" t="s">
        <v>39</v>
      </c>
      <c r="F232">
        <v>26847</v>
      </c>
      <c r="H232" s="2">
        <f>+H258</f>
        <v>27394.199999999997</v>
      </c>
    </row>
    <row r="233" spans="2:8" ht="12.75">
      <c r="B233" s="18" t="s">
        <v>106</v>
      </c>
      <c r="C233" s="40"/>
      <c r="D233" s="40"/>
      <c r="E233" s="40"/>
      <c r="F233" s="40"/>
      <c r="G233" s="40"/>
      <c r="H233" s="39">
        <f>SUM(H232:H232)+H229</f>
        <v>432517</v>
      </c>
    </row>
    <row r="236" spans="2:8" ht="12.75">
      <c r="B236" s="5" t="s">
        <v>20</v>
      </c>
      <c r="C236" s="5"/>
      <c r="D236" s="8"/>
      <c r="E236" s="8"/>
      <c r="F236" s="9">
        <f>+K2</f>
        <v>2015</v>
      </c>
      <c r="G236" s="9"/>
      <c r="H236" s="9">
        <f>+K1</f>
        <v>2016</v>
      </c>
    </row>
    <row r="237" spans="4:8" ht="12.75">
      <c r="D237" s="8" t="s">
        <v>116</v>
      </c>
      <c r="E237" s="10"/>
      <c r="F237" s="11">
        <v>76970</v>
      </c>
      <c r="G237" s="11"/>
      <c r="H237" s="102">
        <f>+chief!E16</f>
        <v>77960</v>
      </c>
    </row>
    <row r="238" spans="4:8" ht="12.75">
      <c r="D238" s="8" t="s">
        <v>117</v>
      </c>
      <c r="E238" s="10"/>
      <c r="F238" s="11">
        <v>20364</v>
      </c>
      <c r="G238" s="11"/>
      <c r="H238" s="100">
        <f>+ambulance!D33</f>
        <v>96000</v>
      </c>
    </row>
    <row r="239" spans="4:8" ht="12.75">
      <c r="D239" s="113"/>
      <c r="E239" s="114"/>
      <c r="F239" s="114"/>
      <c r="G239" s="115"/>
      <c r="H239" s="11">
        <v>0</v>
      </c>
    </row>
    <row r="240" spans="4:8" ht="12.75">
      <c r="D240" s="8" t="s">
        <v>165</v>
      </c>
      <c r="E240" s="10"/>
      <c r="F240" s="11">
        <v>71000</v>
      </c>
      <c r="G240" s="11"/>
      <c r="H240" s="102">
        <f>+Capitalimp!E12</f>
        <v>15000</v>
      </c>
    </row>
    <row r="241" spans="4:8" ht="12.75">
      <c r="D241" s="8" t="s">
        <v>118</v>
      </c>
      <c r="E241" s="10"/>
      <c r="F241" s="11">
        <f>SUM(F237:F240)</f>
        <v>168334</v>
      </c>
      <c r="G241" s="11"/>
      <c r="H241" s="11">
        <f>SUM(H237:H240)</f>
        <v>188960</v>
      </c>
    </row>
    <row r="243" spans="4:8" ht="12.75">
      <c r="D243" s="117" t="s">
        <v>119</v>
      </c>
      <c r="E243" s="117"/>
      <c r="F243" s="117"/>
      <c r="G243" s="117"/>
      <c r="H243" s="7">
        <v>4</v>
      </c>
    </row>
    <row r="244" spans="2:8" ht="12.75">
      <c r="B244" s="8"/>
      <c r="C244" s="15"/>
      <c r="D244" s="20"/>
      <c r="E244" s="15"/>
      <c r="F244" s="47">
        <f>+K2</f>
        <v>2015</v>
      </c>
      <c r="G244" s="15"/>
      <c r="H244" s="47">
        <f>+K1</f>
        <v>2016</v>
      </c>
    </row>
    <row r="245" spans="2:8" ht="12.75">
      <c r="B245" s="8" t="s">
        <v>107</v>
      </c>
      <c r="C245" s="15"/>
      <c r="D245" s="10"/>
      <c r="E245" s="15"/>
      <c r="F245" s="11">
        <v>44358</v>
      </c>
      <c r="G245" s="15"/>
      <c r="H245" s="11">
        <f aca="true" t="shared" si="0" ref="H245:H250">(((+F245*$H$243)/100)+F245)</f>
        <v>46132.32</v>
      </c>
    </row>
    <row r="246" spans="2:8" ht="12.75">
      <c r="B246" s="8" t="s">
        <v>108</v>
      </c>
      <c r="C246" s="15"/>
      <c r="D246" s="10"/>
      <c r="E246" s="15"/>
      <c r="F246" s="11"/>
      <c r="G246" s="15"/>
      <c r="H246" s="11">
        <f t="shared" si="0"/>
        <v>0</v>
      </c>
    </row>
    <row r="247" spans="2:8" ht="12.75">
      <c r="B247" s="8" t="s">
        <v>109</v>
      </c>
      <c r="C247" s="15"/>
      <c r="D247" s="10"/>
      <c r="E247" s="15"/>
      <c r="F247" s="11">
        <v>7362</v>
      </c>
      <c r="G247" s="15"/>
      <c r="H247" s="11">
        <f t="shared" si="0"/>
        <v>7656.48</v>
      </c>
    </row>
    <row r="248" spans="2:8" ht="12.75">
      <c r="B248" s="8" t="s">
        <v>110</v>
      </c>
      <c r="C248" s="15"/>
      <c r="D248" s="10"/>
      <c r="E248" s="15"/>
      <c r="F248" s="11">
        <v>10029</v>
      </c>
      <c r="G248" s="15"/>
      <c r="H248" s="11">
        <f t="shared" si="0"/>
        <v>10430.16</v>
      </c>
    </row>
    <row r="249" spans="2:8" ht="12.75">
      <c r="B249" s="8" t="s">
        <v>111</v>
      </c>
      <c r="C249" s="15"/>
      <c r="D249" s="10"/>
      <c r="E249" s="15"/>
      <c r="F249" s="11">
        <v>910</v>
      </c>
      <c r="G249" s="15"/>
      <c r="H249" s="11">
        <f t="shared" si="0"/>
        <v>946.4</v>
      </c>
    </row>
    <row r="250" spans="2:8" ht="12.75">
      <c r="B250" s="8" t="s">
        <v>112</v>
      </c>
      <c r="C250" s="15"/>
      <c r="D250" s="10"/>
      <c r="E250" s="15"/>
      <c r="F250" s="10"/>
      <c r="G250" s="15"/>
      <c r="H250" s="11">
        <f t="shared" si="0"/>
        <v>0</v>
      </c>
    </row>
    <row r="251" spans="2:10" ht="12.75">
      <c r="B251" s="8" t="s">
        <v>143</v>
      </c>
      <c r="C251" s="15">
        <v>10</v>
      </c>
      <c r="D251" s="10" t="s">
        <v>120</v>
      </c>
      <c r="E251" s="15"/>
      <c r="F251" s="10">
        <v>78500</v>
      </c>
      <c r="G251" s="15"/>
      <c r="H251" s="11">
        <f>((+F251*(+$C$251/100))+F251)</f>
        <v>86350</v>
      </c>
      <c r="J251" s="2"/>
    </row>
    <row r="252" spans="2:8" ht="12.75">
      <c r="B252" s="8"/>
      <c r="C252" s="15"/>
      <c r="D252" s="48" t="s">
        <v>121</v>
      </c>
      <c r="E252" s="15"/>
      <c r="F252" s="10">
        <v>40000</v>
      </c>
      <c r="G252" s="15"/>
      <c r="H252" s="11">
        <f>((+F252*(+$C$251/100))+F252)</f>
        <v>44000</v>
      </c>
    </row>
    <row r="253" spans="2:8" ht="12.75">
      <c r="B253" s="8"/>
      <c r="C253" s="15"/>
      <c r="D253" s="10"/>
      <c r="E253" s="15"/>
      <c r="F253" s="10"/>
      <c r="G253" s="15"/>
      <c r="H253" s="10"/>
    </row>
    <row r="254" spans="2:8" ht="12.75">
      <c r="B254" s="8" t="s">
        <v>113</v>
      </c>
      <c r="C254" s="15"/>
      <c r="D254" s="10"/>
      <c r="E254" s="15"/>
      <c r="F254" s="10"/>
      <c r="G254" s="15"/>
      <c r="H254" s="10"/>
    </row>
    <row r="257" spans="2:8" ht="12.75">
      <c r="B257" s="10" t="s">
        <v>114</v>
      </c>
      <c r="C257" s="10"/>
      <c r="D257" s="10" t="s">
        <v>122</v>
      </c>
      <c r="E257" s="10"/>
      <c r="F257" s="10" t="s">
        <v>123</v>
      </c>
      <c r="G257" s="10"/>
      <c r="H257" s="10"/>
    </row>
    <row r="258" spans="2:8" ht="12.75">
      <c r="B258" s="10"/>
      <c r="C258" s="10"/>
      <c r="D258" s="10">
        <v>171</v>
      </c>
      <c r="E258" s="10"/>
      <c r="F258" s="14">
        <v>160.2</v>
      </c>
      <c r="G258" s="14"/>
      <c r="H258" s="14">
        <f>+D258*F258</f>
        <v>27394.199999999997</v>
      </c>
    </row>
    <row r="260" spans="2:8" ht="12.75">
      <c r="B260" s="11"/>
      <c r="C260" s="11"/>
      <c r="D260" s="11"/>
      <c r="E260" s="11"/>
      <c r="F260" s="11" t="s">
        <v>124</v>
      </c>
      <c r="G260" s="11"/>
      <c r="H260" s="11" t="s">
        <v>125</v>
      </c>
    </row>
    <row r="261" spans="2:8" ht="12.75">
      <c r="B261" s="11" t="s">
        <v>115</v>
      </c>
      <c r="C261" s="11"/>
      <c r="D261" s="11"/>
      <c r="E261" s="11"/>
      <c r="F261" s="11" t="s">
        <v>126</v>
      </c>
      <c r="G261" s="11"/>
      <c r="H261" s="11" t="s">
        <v>126</v>
      </c>
    </row>
    <row r="262" spans="2:8" ht="12.75">
      <c r="B262" s="62" t="s">
        <v>179</v>
      </c>
      <c r="C262" s="11"/>
      <c r="D262" s="11" t="s">
        <v>127</v>
      </c>
      <c r="E262" s="11"/>
      <c r="F262" s="11">
        <v>200000</v>
      </c>
      <c r="G262" s="11"/>
      <c r="H262" s="11">
        <v>36000</v>
      </c>
    </row>
    <row r="263" spans="2:8" ht="12.75">
      <c r="B263" s="62" t="s">
        <v>180</v>
      </c>
      <c r="C263" s="11"/>
      <c r="D263" s="11" t="s">
        <v>181</v>
      </c>
      <c r="E263" s="11"/>
      <c r="F263" s="11">
        <v>200000</v>
      </c>
      <c r="G263" s="11"/>
      <c r="H263" s="11">
        <v>10000</v>
      </c>
    </row>
    <row r="264" spans="2:8" ht="12.75">
      <c r="B264" s="11"/>
      <c r="C264" s="11"/>
      <c r="D264" s="11" t="s">
        <v>128</v>
      </c>
      <c r="E264" s="11"/>
      <c r="F264" s="11">
        <f>+F262+F263</f>
        <v>400000</v>
      </c>
      <c r="G264" s="11"/>
      <c r="H264" s="11">
        <f>+H262+H263</f>
        <v>46000</v>
      </c>
    </row>
    <row r="266" spans="2:8" ht="12.75">
      <c r="B266" s="111" t="s">
        <v>168</v>
      </c>
      <c r="C266" s="111"/>
      <c r="D266" s="111"/>
      <c r="E266" s="111"/>
      <c r="F266" s="111"/>
      <c r="G266" s="111"/>
      <c r="H266" s="111"/>
    </row>
    <row r="267" spans="2:8" ht="12.75">
      <c r="B267" s="10"/>
      <c r="C267" s="10"/>
      <c r="D267" s="10"/>
      <c r="E267" s="10"/>
      <c r="F267" s="9">
        <v>2015</v>
      </c>
      <c r="G267" s="9"/>
      <c r="H267" s="9">
        <v>2016</v>
      </c>
    </row>
    <row r="268" spans="2:8" ht="12.75">
      <c r="B268" s="10" t="s">
        <v>169</v>
      </c>
      <c r="C268" s="10"/>
      <c r="D268" s="10"/>
      <c r="E268" s="10"/>
      <c r="F268" s="61">
        <v>14401</v>
      </c>
      <c r="G268" s="61"/>
      <c r="H268" s="61">
        <v>16000</v>
      </c>
    </row>
    <row r="269" spans="2:8" ht="12.75">
      <c r="B269" s="10" t="s">
        <v>170</v>
      </c>
      <c r="C269" s="10"/>
      <c r="D269" s="10"/>
      <c r="E269" s="10"/>
      <c r="F269" s="61">
        <v>11293</v>
      </c>
      <c r="G269" s="61"/>
      <c r="H269" s="61">
        <v>12000</v>
      </c>
    </row>
    <row r="270" spans="2:8" ht="12.75">
      <c r="B270" s="10" t="s">
        <v>128</v>
      </c>
      <c r="C270" s="10"/>
      <c r="D270" s="10"/>
      <c r="E270" s="10"/>
      <c r="F270" s="61"/>
      <c r="G270" s="61"/>
      <c r="H270" s="61">
        <f>+H268+H269</f>
        <v>28000</v>
      </c>
    </row>
  </sheetData>
  <sheetProtection/>
  <mergeCells count="41">
    <mergeCell ref="D98:F98"/>
    <mergeCell ref="B114:G114"/>
    <mergeCell ref="D117:G117"/>
    <mergeCell ref="D119:G119"/>
    <mergeCell ref="D121:G121"/>
    <mergeCell ref="D120:G120"/>
    <mergeCell ref="D129:G129"/>
    <mergeCell ref="D123:G123"/>
    <mergeCell ref="B130:G130"/>
    <mergeCell ref="B231:H231"/>
    <mergeCell ref="D128:G128"/>
    <mergeCell ref="B160:H160"/>
    <mergeCell ref="D136:E136"/>
    <mergeCell ref="D124:G124"/>
    <mergeCell ref="D12:I12"/>
    <mergeCell ref="D127:G127"/>
    <mergeCell ref="D126:G126"/>
    <mergeCell ref="D122:G122"/>
    <mergeCell ref="D125:G125"/>
    <mergeCell ref="D13:I13"/>
    <mergeCell ref="B115:G115"/>
    <mergeCell ref="B116:G116"/>
    <mergeCell ref="D118:G118"/>
    <mergeCell ref="D93:F93"/>
    <mergeCell ref="B266:H266"/>
    <mergeCell ref="D239:G239"/>
    <mergeCell ref="B135:H135"/>
    <mergeCell ref="D243:G243"/>
    <mergeCell ref="B159:H159"/>
    <mergeCell ref="B131:G131"/>
    <mergeCell ref="D132:G132"/>
    <mergeCell ref="D4:F4"/>
    <mergeCell ref="F162:G162"/>
    <mergeCell ref="F163:G163"/>
    <mergeCell ref="D162:E162"/>
    <mergeCell ref="B1:J1"/>
    <mergeCell ref="D89:F89"/>
    <mergeCell ref="D91:F91"/>
    <mergeCell ref="B35:J35"/>
    <mergeCell ref="B16:J16"/>
    <mergeCell ref="B2:J2"/>
  </mergeCells>
  <printOptions horizontalCentered="1"/>
  <pageMargins left="0.75" right="0.75" top="1" bottom="1" header="0.5" footer="0.5"/>
  <pageSetup fitToHeight="5" fitToWidth="1" horizontalDpi="300" verticalDpi="300" orientation="portrait" scale="83" r:id="rId1"/>
  <headerFooter alignWithMargins="0">
    <oddHeader>&amp;L&amp;D&amp;CYaphank Fire District Budget</oddHeader>
    <oddFooter>&amp;C&amp;P</oddFooter>
  </headerFooter>
  <rowBreaks count="4" manualBreakCount="4">
    <brk id="34" min="1" max="9" man="1"/>
    <brk id="84" max="255" man="1"/>
    <brk id="134" min="1" max="9" man="1"/>
    <brk id="194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18"/>
  <sheetViews>
    <sheetView zoomScalePageLayoutView="0" workbookViewId="0" topLeftCell="A1">
      <selection activeCell="C4" sqref="C4"/>
    </sheetView>
  </sheetViews>
  <sheetFormatPr defaultColWidth="9.140625" defaultRowHeight="12.75"/>
  <cols>
    <col min="2" max="2" width="39.00390625" style="0" customWidth="1"/>
    <col min="3" max="3" width="28.57421875" style="0" customWidth="1"/>
    <col min="4" max="4" width="25.421875" style="2" customWidth="1"/>
    <col min="5" max="5" width="24.421875" style="2" customWidth="1"/>
  </cols>
  <sheetData>
    <row r="1" spans="2:6" ht="27.75">
      <c r="B1" s="91" t="s">
        <v>195</v>
      </c>
      <c r="C1" s="91" t="s">
        <v>197</v>
      </c>
      <c r="D1" s="92" t="s">
        <v>198</v>
      </c>
      <c r="E1" s="92" t="s">
        <v>196</v>
      </c>
      <c r="F1" s="90"/>
    </row>
    <row r="2" spans="2:6" ht="27">
      <c r="B2" s="90" t="s">
        <v>203</v>
      </c>
      <c r="C2" s="90">
        <v>1</v>
      </c>
      <c r="D2" s="93">
        <v>20000</v>
      </c>
      <c r="E2" s="93">
        <f aca="true" t="shared" si="0" ref="E2:E10">+D2*C2</f>
        <v>20000</v>
      </c>
      <c r="F2" s="90"/>
    </row>
    <row r="3" spans="2:6" ht="27">
      <c r="B3" s="90" t="s">
        <v>228</v>
      </c>
      <c r="C3" s="90">
        <v>1</v>
      </c>
      <c r="D3" s="93">
        <v>15000</v>
      </c>
      <c r="E3" s="93">
        <f t="shared" si="0"/>
        <v>15000</v>
      </c>
      <c r="F3" s="90" t="s">
        <v>202</v>
      </c>
    </row>
    <row r="4" spans="2:6" ht="27">
      <c r="B4" s="90" t="s">
        <v>225</v>
      </c>
      <c r="C4" s="90">
        <v>20</v>
      </c>
      <c r="D4" s="93">
        <v>450</v>
      </c>
      <c r="E4" s="93">
        <f t="shared" si="0"/>
        <v>9000</v>
      </c>
      <c r="F4" s="90" t="s">
        <v>202</v>
      </c>
    </row>
    <row r="5" spans="2:6" ht="27">
      <c r="B5" s="90" t="s">
        <v>229</v>
      </c>
      <c r="C5" s="90">
        <v>4</v>
      </c>
      <c r="D5" s="93">
        <v>850</v>
      </c>
      <c r="E5" s="93">
        <f t="shared" si="0"/>
        <v>3400</v>
      </c>
      <c r="F5" s="90"/>
    </row>
    <row r="6" spans="2:6" ht="27">
      <c r="B6" s="90" t="s">
        <v>230</v>
      </c>
      <c r="C6" s="90">
        <v>2</v>
      </c>
      <c r="D6" s="93">
        <v>1600</v>
      </c>
      <c r="E6" s="93">
        <f t="shared" si="0"/>
        <v>3200</v>
      </c>
      <c r="F6" s="90" t="s">
        <v>202</v>
      </c>
    </row>
    <row r="7" spans="2:6" ht="27">
      <c r="B7" s="90" t="s">
        <v>231</v>
      </c>
      <c r="C7" s="90">
        <v>70</v>
      </c>
      <c r="D7" s="93">
        <v>6</v>
      </c>
      <c r="E7" s="93">
        <f t="shared" si="0"/>
        <v>420</v>
      </c>
      <c r="F7" s="90" t="s">
        <v>202</v>
      </c>
    </row>
    <row r="8" spans="2:6" ht="27">
      <c r="B8" s="90" t="s">
        <v>232</v>
      </c>
      <c r="C8" s="90">
        <v>15</v>
      </c>
      <c r="D8" s="93">
        <v>500</v>
      </c>
      <c r="E8" s="93">
        <f t="shared" si="0"/>
        <v>7500</v>
      </c>
      <c r="F8" s="90"/>
    </row>
    <row r="9" spans="2:6" ht="27">
      <c r="B9" s="90" t="s">
        <v>233</v>
      </c>
      <c r="C9" s="90">
        <v>6</v>
      </c>
      <c r="D9" s="93">
        <v>240</v>
      </c>
      <c r="E9" s="93">
        <f t="shared" si="0"/>
        <v>1440</v>
      </c>
      <c r="F9" s="90" t="s">
        <v>202</v>
      </c>
    </row>
    <row r="10" spans="2:6" ht="27">
      <c r="B10" s="90" t="s">
        <v>234</v>
      </c>
      <c r="C10" s="90">
        <v>15</v>
      </c>
      <c r="D10" s="93">
        <v>1200</v>
      </c>
      <c r="E10" s="93">
        <f t="shared" si="0"/>
        <v>18000</v>
      </c>
      <c r="F10" s="90" t="s">
        <v>202</v>
      </c>
    </row>
    <row r="11" spans="2:6" ht="27">
      <c r="B11" s="90"/>
      <c r="C11" s="90"/>
      <c r="D11" s="93"/>
      <c r="E11" s="93"/>
      <c r="F11" s="90" t="s">
        <v>202</v>
      </c>
    </row>
    <row r="12" spans="2:6" ht="27">
      <c r="B12" s="90"/>
      <c r="C12" s="90"/>
      <c r="D12" s="93"/>
      <c r="E12" s="93">
        <f>+D12*C12</f>
        <v>0</v>
      </c>
      <c r="F12" s="90"/>
    </row>
    <row r="13" spans="2:6" ht="27">
      <c r="B13" s="90"/>
      <c r="C13" s="90"/>
      <c r="D13" s="93"/>
      <c r="E13" s="93">
        <f>+D13*C13</f>
        <v>0</v>
      </c>
      <c r="F13" s="90"/>
    </row>
    <row r="14" spans="2:6" ht="27">
      <c r="B14" s="90"/>
      <c r="C14" s="90"/>
      <c r="D14" s="93"/>
      <c r="E14" s="93">
        <f>+D14*C14</f>
        <v>0</v>
      </c>
      <c r="F14" s="90"/>
    </row>
    <row r="15" spans="2:6" ht="27">
      <c r="B15" s="90"/>
      <c r="C15" s="90"/>
      <c r="D15" s="93"/>
      <c r="E15" s="93">
        <f>+D15*C15</f>
        <v>0</v>
      </c>
      <c r="F15" s="90"/>
    </row>
    <row r="16" spans="2:6" ht="27">
      <c r="B16" s="90" t="s">
        <v>128</v>
      </c>
      <c r="C16" s="90"/>
      <c r="D16" s="93"/>
      <c r="E16" s="93">
        <f>SUM(E2:E15)</f>
        <v>77960</v>
      </c>
      <c r="F16" s="90"/>
    </row>
    <row r="17" spans="2:6" ht="27">
      <c r="B17" s="90"/>
      <c r="C17" s="90"/>
      <c r="D17" s="93"/>
      <c r="E17" s="93"/>
      <c r="F17" s="90"/>
    </row>
    <row r="18" spans="2:6" ht="27">
      <c r="B18" s="90"/>
      <c r="C18" s="90"/>
      <c r="D18" s="93"/>
      <c r="E18" s="93"/>
      <c r="F18" s="9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37.28125" style="0" customWidth="1"/>
    <col min="2" max="2" width="13.140625" style="0" customWidth="1"/>
    <col min="3" max="3" width="16.57421875" style="2" customWidth="1"/>
    <col min="4" max="4" width="14.28125" style="2" customWidth="1"/>
  </cols>
  <sheetData>
    <row r="1" spans="1:4" ht="12.75">
      <c r="A1" s="1" t="s">
        <v>195</v>
      </c>
      <c r="B1" s="1" t="s">
        <v>197</v>
      </c>
      <c r="C1" s="76" t="s">
        <v>198</v>
      </c>
      <c r="D1" s="76" t="s">
        <v>196</v>
      </c>
    </row>
    <row r="2" spans="1:4" ht="12.75">
      <c r="A2" s="84" t="s">
        <v>223</v>
      </c>
      <c r="B2">
        <v>1</v>
      </c>
      <c r="C2" s="2">
        <v>15000</v>
      </c>
      <c r="D2" s="2">
        <f>+B2*C2</f>
        <v>15000</v>
      </c>
    </row>
    <row r="3" spans="1:4" ht="12.75">
      <c r="A3" s="84" t="s">
        <v>224</v>
      </c>
      <c r="B3">
        <v>1</v>
      </c>
      <c r="C3" s="2">
        <v>28000</v>
      </c>
      <c r="D3" s="2">
        <f>+C3*B3</f>
        <v>28000</v>
      </c>
    </row>
    <row r="4" spans="1:6" ht="12.75">
      <c r="A4" t="s">
        <v>226</v>
      </c>
      <c r="B4">
        <v>1</v>
      </c>
      <c r="C4" s="2">
        <v>10000</v>
      </c>
      <c r="D4" s="2">
        <f>+C4*B4</f>
        <v>10000</v>
      </c>
      <c r="F4" s="2"/>
    </row>
    <row r="5" spans="1:4" ht="12.75">
      <c r="A5" t="s">
        <v>227</v>
      </c>
      <c r="B5">
        <v>1</v>
      </c>
      <c r="C5" s="2">
        <v>20000</v>
      </c>
      <c r="D5" s="2">
        <f aca="true" t="shared" si="0" ref="D5:D31">+B5*C5</f>
        <v>20000</v>
      </c>
    </row>
    <row r="6" spans="1:6" ht="12.75">
      <c r="A6" t="s">
        <v>237</v>
      </c>
      <c r="B6">
        <v>1</v>
      </c>
      <c r="C6" s="2">
        <v>23000</v>
      </c>
      <c r="D6" s="2">
        <f t="shared" si="0"/>
        <v>23000</v>
      </c>
      <c r="F6" s="2"/>
    </row>
    <row r="7" ht="12.75">
      <c r="D7" s="2">
        <f t="shared" si="0"/>
        <v>0</v>
      </c>
    </row>
    <row r="8" ht="12.75">
      <c r="D8" s="2">
        <f t="shared" si="0"/>
        <v>0</v>
      </c>
    </row>
    <row r="9" ht="12.75">
      <c r="D9" s="2">
        <f t="shared" si="0"/>
        <v>0</v>
      </c>
    </row>
    <row r="10" ht="12.75">
      <c r="D10" s="2">
        <f t="shared" si="0"/>
        <v>0</v>
      </c>
    </row>
    <row r="11" ht="12.75">
      <c r="D11" s="2">
        <f t="shared" si="0"/>
        <v>0</v>
      </c>
    </row>
    <row r="12" ht="12.75">
      <c r="D12" s="2">
        <f t="shared" si="0"/>
        <v>0</v>
      </c>
    </row>
    <row r="13" ht="12.75">
      <c r="D13" s="2">
        <f t="shared" si="0"/>
        <v>0</v>
      </c>
    </row>
    <row r="14" ht="12.75">
      <c r="D14" s="2">
        <f t="shared" si="0"/>
        <v>0</v>
      </c>
    </row>
    <row r="15" ht="12.75">
      <c r="D15" s="2">
        <f t="shared" si="0"/>
        <v>0</v>
      </c>
    </row>
    <row r="16" ht="12.75">
      <c r="D16" s="2">
        <f t="shared" si="0"/>
        <v>0</v>
      </c>
    </row>
    <row r="17" ht="12.75">
      <c r="D17" s="2">
        <f t="shared" si="0"/>
        <v>0</v>
      </c>
    </row>
    <row r="18" ht="12.75">
      <c r="D18" s="2">
        <f t="shared" si="0"/>
        <v>0</v>
      </c>
    </row>
    <row r="19" ht="12.75">
      <c r="D19" s="2">
        <f t="shared" si="0"/>
        <v>0</v>
      </c>
    </row>
    <row r="20" ht="12.75">
      <c r="D20" s="2">
        <f t="shared" si="0"/>
        <v>0</v>
      </c>
    </row>
    <row r="21" ht="12.75">
      <c r="D21" s="2">
        <f t="shared" si="0"/>
        <v>0</v>
      </c>
    </row>
    <row r="22" ht="12.75">
      <c r="D22" s="2">
        <f t="shared" si="0"/>
        <v>0</v>
      </c>
    </row>
    <row r="23" ht="12.75">
      <c r="D23" s="2">
        <f t="shared" si="0"/>
        <v>0</v>
      </c>
    </row>
    <row r="24" ht="12.75">
      <c r="D24" s="2">
        <f t="shared" si="0"/>
        <v>0</v>
      </c>
    </row>
    <row r="25" ht="12.75">
      <c r="D25" s="2">
        <f t="shared" si="0"/>
        <v>0</v>
      </c>
    </row>
    <row r="26" ht="12.75">
      <c r="D26" s="2">
        <f t="shared" si="0"/>
        <v>0</v>
      </c>
    </row>
    <row r="27" ht="12.75">
      <c r="D27" s="2">
        <f t="shared" si="0"/>
        <v>0</v>
      </c>
    </row>
    <row r="28" ht="12.75">
      <c r="D28" s="2">
        <f t="shared" si="0"/>
        <v>0</v>
      </c>
    </row>
    <row r="29" ht="12.75">
      <c r="D29" s="2">
        <f t="shared" si="0"/>
        <v>0</v>
      </c>
    </row>
    <row r="30" ht="12.75">
      <c r="D30" s="2">
        <f t="shared" si="0"/>
        <v>0</v>
      </c>
    </row>
    <row r="31" ht="12.75">
      <c r="D31" s="2">
        <f t="shared" si="0"/>
        <v>0</v>
      </c>
    </row>
    <row r="33" spans="1:4" ht="12.75">
      <c r="A33" t="s">
        <v>199</v>
      </c>
      <c r="D33" s="2">
        <f>SUM(D2:D32)</f>
        <v>96000</v>
      </c>
    </row>
  </sheetData>
  <sheetProtection/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2"/>
  <sheetViews>
    <sheetView zoomScale="85" zoomScaleNormal="85" zoomScalePageLayoutView="0" workbookViewId="0" topLeftCell="A1">
      <selection activeCell="B4" sqref="B4"/>
    </sheetView>
  </sheetViews>
  <sheetFormatPr defaultColWidth="9.140625" defaultRowHeight="12.75"/>
  <cols>
    <col min="1" max="1" width="11.7109375" style="90" customWidth="1"/>
    <col min="2" max="3" width="53.28125" style="90" customWidth="1"/>
    <col min="4" max="5" width="53.28125" style="93" customWidth="1"/>
  </cols>
  <sheetData>
    <row r="1" spans="2:5" ht="27.75">
      <c r="B1" s="91" t="s">
        <v>195</v>
      </c>
      <c r="C1" s="91" t="s">
        <v>197</v>
      </c>
      <c r="D1" s="92" t="s">
        <v>198</v>
      </c>
      <c r="E1" s="92" t="s">
        <v>196</v>
      </c>
    </row>
    <row r="2" spans="2:5" ht="27">
      <c r="B2" s="90" t="s">
        <v>212</v>
      </c>
      <c r="C2" s="90">
        <v>1</v>
      </c>
      <c r="D2" s="93">
        <v>5000</v>
      </c>
      <c r="E2" s="93">
        <f>+D2*C2</f>
        <v>5000</v>
      </c>
    </row>
    <row r="3" spans="2:5" ht="27">
      <c r="B3" s="90" t="s">
        <v>238</v>
      </c>
      <c r="C3" s="90">
        <v>1</v>
      </c>
      <c r="D3" s="93">
        <v>10000</v>
      </c>
      <c r="E3" s="93">
        <f aca="true" t="shared" si="0" ref="E3:E9">+D3*C3</f>
        <v>10000</v>
      </c>
    </row>
    <row r="4" ht="27">
      <c r="E4" s="93">
        <f t="shared" si="0"/>
        <v>0</v>
      </c>
    </row>
    <row r="5" ht="27">
      <c r="E5" s="93">
        <f t="shared" si="0"/>
        <v>0</v>
      </c>
    </row>
    <row r="6" ht="27">
      <c r="E6" s="93">
        <f t="shared" si="0"/>
        <v>0</v>
      </c>
    </row>
    <row r="7" ht="27">
      <c r="E7" s="93">
        <f t="shared" si="0"/>
        <v>0</v>
      </c>
    </row>
    <row r="8" ht="27">
      <c r="E8" s="93">
        <f t="shared" si="0"/>
        <v>0</v>
      </c>
    </row>
    <row r="9" ht="27">
      <c r="E9" s="93">
        <f t="shared" si="0"/>
        <v>0</v>
      </c>
    </row>
    <row r="10" ht="27">
      <c r="E10" s="93">
        <f>+D10*C10</f>
        <v>0</v>
      </c>
    </row>
    <row r="11" ht="27">
      <c r="E11" s="93">
        <f>+C11*D11</f>
        <v>0</v>
      </c>
    </row>
    <row r="12" spans="2:5" ht="27">
      <c r="B12" s="90" t="s">
        <v>200</v>
      </c>
      <c r="E12" s="93">
        <f>SUM(E2:E11)</f>
        <v>15000</v>
      </c>
    </row>
  </sheetData>
  <sheetProtection/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37.00390625" style="0" customWidth="1"/>
    <col min="3" max="3" width="13.140625" style="0" customWidth="1"/>
    <col min="4" max="4" width="11.421875" style="0" customWidth="1"/>
    <col min="5" max="5" width="15.8515625" style="0" customWidth="1"/>
    <col min="6" max="6" width="14.8515625" style="0" customWidth="1"/>
    <col min="7" max="7" width="15.8515625" style="0" customWidth="1"/>
    <col min="10" max="10" width="10.7109375" style="0" customWidth="1"/>
    <col min="13" max="13" width="17.7109375" style="2" customWidth="1"/>
  </cols>
  <sheetData>
    <row r="1" spans="1:12" ht="12.75">
      <c r="A1" s="116" t="s">
        <v>69</v>
      </c>
      <c r="B1" s="116"/>
      <c r="C1" s="116"/>
      <c r="D1" s="116"/>
      <c r="E1" s="116"/>
      <c r="F1" s="116"/>
      <c r="G1" s="116"/>
      <c r="H1" s="56"/>
      <c r="I1" s="3"/>
      <c r="J1" s="3"/>
      <c r="K1" s="3"/>
      <c r="L1" s="64"/>
    </row>
    <row r="2" spans="1:12" ht="12.75">
      <c r="A2" s="10"/>
      <c r="B2" s="37"/>
      <c r="C2" s="106" t="s">
        <v>129</v>
      </c>
      <c r="D2" s="111"/>
      <c r="E2" s="33">
        <v>0.03</v>
      </c>
      <c r="F2" s="37"/>
      <c r="G2" s="38"/>
      <c r="I2" s="3"/>
      <c r="J2" s="3"/>
      <c r="K2" s="3"/>
      <c r="L2" s="64"/>
    </row>
    <row r="3" spans="1:13" ht="25.5">
      <c r="A3" s="10"/>
      <c r="B3" s="34"/>
      <c r="C3" s="79" t="s">
        <v>220</v>
      </c>
      <c r="D3" s="35"/>
      <c r="E3" s="9">
        <f>+budget!K2</f>
        <v>2015</v>
      </c>
      <c r="F3" s="28"/>
      <c r="G3" s="9">
        <f>+budget!K1</f>
        <v>2016</v>
      </c>
      <c r="I3" s="86" t="s">
        <v>219</v>
      </c>
      <c r="J3" s="84" t="s">
        <v>211</v>
      </c>
      <c r="K3" s="86" t="s">
        <v>221</v>
      </c>
      <c r="L3" s="88" t="s">
        <v>209</v>
      </c>
      <c r="M3" s="95" t="s">
        <v>222</v>
      </c>
    </row>
    <row r="4" spans="1:12" ht="12.75">
      <c r="A4" s="8" t="s">
        <v>70</v>
      </c>
      <c r="B4" s="34"/>
      <c r="C4" s="79" t="s">
        <v>208</v>
      </c>
      <c r="D4" s="35"/>
      <c r="E4" s="14">
        <v>30900</v>
      </c>
      <c r="F4" s="15"/>
      <c r="G4" s="14">
        <f>(+E4*$E$2)+E4</f>
        <v>31827</v>
      </c>
      <c r="I4" s="3"/>
      <c r="J4" s="3"/>
      <c r="K4" s="3"/>
      <c r="L4" s="89"/>
    </row>
    <row r="5" spans="1:12" ht="12.75">
      <c r="A5" s="8" t="s">
        <v>71</v>
      </c>
      <c r="B5" s="34"/>
      <c r="C5" s="79" t="s">
        <v>208</v>
      </c>
      <c r="D5" s="35"/>
      <c r="E5" s="14">
        <v>16974.4</v>
      </c>
      <c r="F5" s="15"/>
      <c r="G5" s="14">
        <f>(+E5*$E$2)+E5</f>
        <v>17483.632</v>
      </c>
      <c r="I5" s="3"/>
      <c r="J5" s="3"/>
      <c r="K5" s="3"/>
      <c r="L5" s="89"/>
    </row>
    <row r="6" spans="1:13" ht="12.75">
      <c r="A6" s="8" t="s">
        <v>204</v>
      </c>
      <c r="B6" s="34"/>
      <c r="C6" s="81">
        <v>25</v>
      </c>
      <c r="D6" s="35"/>
      <c r="E6" s="14">
        <v>26000</v>
      </c>
      <c r="F6" s="15"/>
      <c r="G6" s="14">
        <f>+M6</f>
        <v>27037.5</v>
      </c>
      <c r="I6" s="80">
        <v>25</v>
      </c>
      <c r="J6" s="85">
        <v>0.03</v>
      </c>
      <c r="K6" s="80">
        <f>+I6*J6+I6</f>
        <v>25.75</v>
      </c>
      <c r="L6" s="89">
        <v>1050</v>
      </c>
      <c r="M6" s="2">
        <f>+K6*L6</f>
        <v>27037.5</v>
      </c>
    </row>
    <row r="7" spans="1:13" ht="12.75">
      <c r="A7" s="8" t="s">
        <v>72</v>
      </c>
      <c r="B7" s="34"/>
      <c r="C7" s="81">
        <v>33.99</v>
      </c>
      <c r="D7" s="35"/>
      <c r="E7" s="14">
        <v>10000</v>
      </c>
      <c r="F7" s="15"/>
      <c r="G7" s="14">
        <f>+M7</f>
        <v>10475.1</v>
      </c>
      <c r="I7" s="80">
        <v>33.9</v>
      </c>
      <c r="J7" s="85">
        <v>0.03</v>
      </c>
      <c r="K7" s="80">
        <f aca="true" t="shared" si="0" ref="K7:K15">+I7*J7+I7</f>
        <v>34.917</v>
      </c>
      <c r="L7" s="89">
        <v>300</v>
      </c>
      <c r="M7" s="2">
        <f>+K7*L7</f>
        <v>10475.1</v>
      </c>
    </row>
    <row r="8" spans="1:12" ht="12.75">
      <c r="A8" s="8" t="s">
        <v>73</v>
      </c>
      <c r="B8" s="34"/>
      <c r="C8" s="82"/>
      <c r="D8" s="35"/>
      <c r="E8" s="14"/>
      <c r="F8" s="15"/>
      <c r="G8" s="14"/>
      <c r="I8" s="80"/>
      <c r="J8" s="85"/>
      <c r="K8" s="80"/>
      <c r="L8" s="89"/>
    </row>
    <row r="9" spans="1:13" ht="12.75">
      <c r="A9" s="59" t="s">
        <v>163</v>
      </c>
      <c r="B9" s="34"/>
      <c r="C9" s="83">
        <v>23.42</v>
      </c>
      <c r="D9" s="35"/>
      <c r="E9" s="14">
        <v>9742.72</v>
      </c>
      <c r="F9" s="15"/>
      <c r="G9" s="14">
        <f>+M9</f>
        <v>10035.001600000001</v>
      </c>
      <c r="I9" s="87">
        <v>23.42</v>
      </c>
      <c r="J9" s="94">
        <v>0.03</v>
      </c>
      <c r="K9" s="80">
        <f t="shared" si="0"/>
        <v>24.122600000000002</v>
      </c>
      <c r="L9" s="89">
        <v>416</v>
      </c>
      <c r="M9" s="2">
        <f>+K9*L9</f>
        <v>10035.001600000001</v>
      </c>
    </row>
    <row r="10" spans="1:13" ht="12.75">
      <c r="A10" s="59" t="s">
        <v>215</v>
      </c>
      <c r="B10" s="34"/>
      <c r="C10" s="83">
        <v>26.5</v>
      </c>
      <c r="D10" s="35"/>
      <c r="E10" s="14">
        <v>55120</v>
      </c>
      <c r="F10" s="15"/>
      <c r="G10" s="14">
        <f>+M10</f>
        <v>56773.600000000006</v>
      </c>
      <c r="I10" s="87">
        <v>26.5</v>
      </c>
      <c r="J10" s="94">
        <v>0.03</v>
      </c>
      <c r="K10" s="80">
        <f t="shared" si="0"/>
        <v>27.295</v>
      </c>
      <c r="L10" s="89">
        <f>40*52</f>
        <v>2080</v>
      </c>
      <c r="M10" s="2">
        <f>+K10*L10</f>
        <v>56773.600000000006</v>
      </c>
    </row>
    <row r="11" spans="1:13" ht="12.75">
      <c r="A11" s="59" t="s">
        <v>217</v>
      </c>
      <c r="B11" s="34"/>
      <c r="C11" s="83">
        <v>25</v>
      </c>
      <c r="D11" s="35"/>
      <c r="E11" s="14">
        <v>52000</v>
      </c>
      <c r="F11" s="15"/>
      <c r="G11" s="14">
        <f>+M11</f>
        <v>53560</v>
      </c>
      <c r="I11" s="87">
        <v>25</v>
      </c>
      <c r="J11" s="94">
        <v>0.03</v>
      </c>
      <c r="K11" s="80">
        <f t="shared" si="0"/>
        <v>25.75</v>
      </c>
      <c r="L11" s="89">
        <f>40*52</f>
        <v>2080</v>
      </c>
      <c r="M11" s="2">
        <f>+K11*L11</f>
        <v>53560</v>
      </c>
    </row>
    <row r="12" spans="1:13" ht="12.75">
      <c r="A12" s="59" t="s">
        <v>216</v>
      </c>
      <c r="B12" s="34"/>
      <c r="C12" s="83">
        <v>24.12</v>
      </c>
      <c r="D12" s="35"/>
      <c r="E12" s="14">
        <v>100339.2</v>
      </c>
      <c r="F12" s="15"/>
      <c r="G12" s="14">
        <f>+M12</f>
        <v>103349.376</v>
      </c>
      <c r="I12" s="87">
        <v>24.12</v>
      </c>
      <c r="J12" s="94">
        <v>0.03</v>
      </c>
      <c r="K12" s="80">
        <f t="shared" si="0"/>
        <v>24.843600000000002</v>
      </c>
      <c r="L12" s="89">
        <f>80*52</f>
        <v>4160</v>
      </c>
      <c r="M12" s="2">
        <f>+K12*L12</f>
        <v>103349.376</v>
      </c>
    </row>
    <row r="13" spans="1:12" ht="12.75">
      <c r="A13" s="59"/>
      <c r="B13" s="34"/>
      <c r="C13" s="83"/>
      <c r="D13" s="35"/>
      <c r="E13" s="14"/>
      <c r="F13" s="15"/>
      <c r="G13" s="14"/>
      <c r="I13" s="87"/>
      <c r="J13" s="94"/>
      <c r="K13" s="80"/>
      <c r="L13" s="89"/>
    </row>
    <row r="14" spans="1:13" ht="12.75">
      <c r="A14" s="8" t="s">
        <v>130</v>
      </c>
      <c r="B14" s="34"/>
      <c r="C14" s="81">
        <v>18</v>
      </c>
      <c r="D14" s="35"/>
      <c r="E14" s="14">
        <v>33100.08</v>
      </c>
      <c r="F14" s="15"/>
      <c r="G14" s="14">
        <f>+M14</f>
        <v>38563.2</v>
      </c>
      <c r="I14" s="87">
        <v>18</v>
      </c>
      <c r="J14" s="94">
        <v>0.03</v>
      </c>
      <c r="K14" s="80">
        <f t="shared" si="0"/>
        <v>18.54</v>
      </c>
      <c r="L14" s="89">
        <f>40*52</f>
        <v>2080</v>
      </c>
      <c r="M14" s="2">
        <f>+K14*L14</f>
        <v>38563.2</v>
      </c>
    </row>
    <row r="15" spans="1:13" ht="12.75">
      <c r="A15" s="8" t="s">
        <v>171</v>
      </c>
      <c r="B15" s="34"/>
      <c r="C15" s="81">
        <v>12.5</v>
      </c>
      <c r="D15" s="35"/>
      <c r="E15" s="14">
        <v>10300</v>
      </c>
      <c r="F15" s="15"/>
      <c r="G15" s="14">
        <f>+M15</f>
        <v>10712</v>
      </c>
      <c r="I15" s="87">
        <f>+C15*$F$136+C15</f>
        <v>12.5</v>
      </c>
      <c r="J15" s="94">
        <v>0.03</v>
      </c>
      <c r="K15" s="80">
        <f t="shared" si="0"/>
        <v>12.875</v>
      </c>
      <c r="L15" s="89">
        <f>16*52</f>
        <v>832</v>
      </c>
      <c r="M15" s="2">
        <f>+K15*L15</f>
        <v>10712</v>
      </c>
    </row>
    <row r="16" spans="1:13" ht="12.75">
      <c r="A16" s="8" t="s">
        <v>210</v>
      </c>
      <c r="B16" s="34"/>
      <c r="C16" s="36"/>
      <c r="D16" s="35"/>
      <c r="E16" s="14">
        <v>5413.14</v>
      </c>
      <c r="F16" s="15"/>
      <c r="G16" s="14">
        <f>(+G9+G10+G14+G15)*0.05</f>
        <v>5804.19008</v>
      </c>
      <c r="I16" s="2"/>
      <c r="J16" s="2"/>
      <c r="K16" s="2"/>
      <c r="L16" s="64"/>
      <c r="M16" s="2">
        <f>SUM(M9:M15)</f>
        <v>272993.1776</v>
      </c>
    </row>
    <row r="17" spans="1:13" ht="12.75">
      <c r="A17" s="8"/>
      <c r="B17" s="34"/>
      <c r="C17" s="36"/>
      <c r="D17" s="35"/>
      <c r="E17" s="14">
        <f>SUM(E4:E16)</f>
        <v>349889.54000000004</v>
      </c>
      <c r="F17" s="15"/>
      <c r="G17" s="14">
        <f>SUM(G4:G16)</f>
        <v>365620.59968</v>
      </c>
      <c r="I17" s="2"/>
      <c r="J17" s="2"/>
      <c r="K17" s="2"/>
      <c r="L17" s="64"/>
      <c r="M17" s="2">
        <f>+M16*0.05</f>
        <v>13649.65888</v>
      </c>
    </row>
    <row r="18" spans="1:12" ht="12.75">
      <c r="A18" s="8" t="s">
        <v>74</v>
      </c>
      <c r="B18" s="34"/>
      <c r="C18" s="36"/>
      <c r="D18" s="35"/>
      <c r="E18" s="14">
        <v>47162</v>
      </c>
      <c r="F18" s="15"/>
      <c r="G18" s="14">
        <v>38348</v>
      </c>
      <c r="I18" s="3"/>
      <c r="J18" s="3"/>
      <c r="K18" s="3"/>
      <c r="L18" s="64"/>
    </row>
    <row r="19" spans="1:12" ht="12.75">
      <c r="A19" s="8" t="s">
        <v>192</v>
      </c>
      <c r="B19" s="34"/>
      <c r="C19" s="36"/>
      <c r="D19" s="35"/>
      <c r="E19" s="14"/>
      <c r="F19" s="15"/>
      <c r="G19" s="14">
        <v>20000</v>
      </c>
      <c r="I19" s="3"/>
      <c r="J19" s="3"/>
      <c r="K19" s="3"/>
      <c r="L19" s="3"/>
    </row>
    <row r="20" spans="1:12" ht="12.75">
      <c r="A20" s="8" t="s">
        <v>75</v>
      </c>
      <c r="B20" s="34"/>
      <c r="C20" s="36"/>
      <c r="D20" s="35"/>
      <c r="E20" s="14"/>
      <c r="F20" s="15"/>
      <c r="G20" s="14">
        <f>+((SUM(G4:G16)*0.124)*0.5)</f>
        <v>22668.47718016</v>
      </c>
      <c r="I20" s="3"/>
      <c r="J20" s="3"/>
      <c r="K20" s="3"/>
      <c r="L20" s="64"/>
    </row>
    <row r="21" spans="1:12" ht="12.75">
      <c r="A21" s="8" t="s">
        <v>76</v>
      </c>
      <c r="B21" s="34"/>
      <c r="C21" s="36"/>
      <c r="D21" s="35"/>
      <c r="E21" s="14"/>
      <c r="F21" s="15"/>
      <c r="G21" s="14">
        <f>+(((SUM(G4:G16)*0.029)*0.5))</f>
        <v>5301.49869536</v>
      </c>
      <c r="I21" s="3"/>
      <c r="J21" s="3"/>
      <c r="K21" s="3"/>
      <c r="L21" s="64"/>
    </row>
    <row r="26" ht="12.75">
      <c r="F26" s="52"/>
    </row>
  </sheetData>
  <sheetProtection/>
  <mergeCells count="2">
    <mergeCell ref="A1:G1"/>
    <mergeCell ref="C2:D2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Mike</cp:lastModifiedBy>
  <cp:lastPrinted>2015-09-25T11:57:22Z</cp:lastPrinted>
  <dcterms:created xsi:type="dcterms:W3CDTF">2008-09-15T16:25:11Z</dcterms:created>
  <dcterms:modified xsi:type="dcterms:W3CDTF">2015-09-25T11:57:40Z</dcterms:modified>
  <cp:category/>
  <cp:version/>
  <cp:contentType/>
  <cp:contentStatus/>
</cp:coreProperties>
</file>